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GMM - Grantee\Appendix Grantee\Appendix files\3. Sample grant docs\SLIGP\"/>
    </mc:Choice>
  </mc:AlternateContent>
  <bookViews>
    <workbookView xWindow="0" yWindow="0" windowWidth="20115" windowHeight="8685" tabRatio="500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I42" i="1" s="1"/>
  <c r="D42" i="1"/>
  <c r="E29" i="1"/>
  <c r="E12" i="1"/>
  <c r="D8" i="1"/>
  <c r="D7" i="1"/>
  <c r="D6" i="1"/>
  <c r="D5" i="1"/>
  <c r="D26" i="1"/>
  <c r="M49" i="1" l="1"/>
  <c r="E6" i="1" l="1"/>
  <c r="H6" i="1" l="1"/>
  <c r="D12" i="1"/>
  <c r="J6" i="1"/>
  <c r="L6" i="1" l="1"/>
  <c r="M6" i="1" s="1"/>
  <c r="C29" i="1" l="1"/>
  <c r="E30" i="1" l="1"/>
  <c r="G30" i="1" s="1"/>
  <c r="G29" i="1"/>
  <c r="E26" i="1"/>
  <c r="H32" i="1"/>
  <c r="L30" i="1"/>
  <c r="K8" i="1"/>
  <c r="E8" i="1"/>
  <c r="D14" i="1" s="1"/>
  <c r="E14" i="1" s="1"/>
  <c r="K7" i="1"/>
  <c r="E7" i="1"/>
  <c r="D13" i="1" s="1"/>
  <c r="E13" i="1" s="1"/>
  <c r="E49" i="1"/>
  <c r="E48" i="1"/>
  <c r="E5" i="1"/>
  <c r="D11" i="1" s="1"/>
  <c r="E11" i="1" s="1"/>
  <c r="L29" i="1"/>
  <c r="G38" i="1"/>
  <c r="E25" i="1"/>
  <c r="G25" i="1" s="1"/>
  <c r="G22" i="1"/>
  <c r="E17" i="1"/>
  <c r="G17" i="1" s="1"/>
  <c r="E18" i="1"/>
  <c r="G18" i="1" s="1"/>
  <c r="E24" i="1"/>
  <c r="E37" i="1"/>
  <c r="J37" i="1" s="1"/>
  <c r="J38" i="1" s="1"/>
  <c r="H27" i="1"/>
  <c r="H22" i="1"/>
  <c r="H19" i="1"/>
  <c r="J32" i="1"/>
  <c r="L26" i="1"/>
  <c r="L25" i="1"/>
  <c r="L24" i="1"/>
  <c r="L18" i="1"/>
  <c r="L17" i="1"/>
  <c r="I38" i="1"/>
  <c r="J27" i="1"/>
  <c r="J19" i="1"/>
  <c r="L19" i="1" s="1"/>
  <c r="K14" i="1"/>
  <c r="K13" i="1"/>
  <c r="K37" i="1"/>
  <c r="K38" i="1" s="1"/>
  <c r="K35" i="1"/>
  <c r="K22" i="1"/>
  <c r="E32" i="1"/>
  <c r="M22" i="1"/>
  <c r="K21" i="1"/>
  <c r="K34" i="1"/>
  <c r="E38" i="1"/>
  <c r="E21" i="1"/>
  <c r="E22" i="1" s="1"/>
  <c r="G11" i="1" l="1"/>
  <c r="I11" i="1"/>
  <c r="I15" i="1" s="1"/>
  <c r="J8" i="1"/>
  <c r="H7" i="1"/>
  <c r="J13" i="1"/>
  <c r="I26" i="1"/>
  <c r="G26" i="1"/>
  <c r="K26" i="1" s="1"/>
  <c r="M26" i="1" s="1"/>
  <c r="I24" i="1"/>
  <c r="G24" i="1"/>
  <c r="K24" i="1" s="1"/>
  <c r="M24" i="1" s="1"/>
  <c r="H13" i="1"/>
  <c r="H14" i="1"/>
  <c r="J14" i="1"/>
  <c r="I5" i="1"/>
  <c r="E9" i="1"/>
  <c r="G5" i="1"/>
  <c r="L27" i="1"/>
  <c r="E27" i="1"/>
  <c r="L32" i="1"/>
  <c r="E50" i="1"/>
  <c r="E51" i="1" s="1"/>
  <c r="I18" i="1"/>
  <c r="K18" i="1" s="1"/>
  <c r="M18" i="1" s="1"/>
  <c r="I25" i="1"/>
  <c r="I30" i="1"/>
  <c r="K30" i="1" s="1"/>
  <c r="M30" i="1" s="1"/>
  <c r="G19" i="1"/>
  <c r="I17" i="1"/>
  <c r="I29" i="1"/>
  <c r="E19" i="1"/>
  <c r="J7" i="1"/>
  <c r="H8" i="1"/>
  <c r="H9" i="1" s="1"/>
  <c r="H37" i="1"/>
  <c r="L37" i="1" s="1"/>
  <c r="L38" i="1" s="1"/>
  <c r="M38" i="1" s="1"/>
  <c r="G32" i="1"/>
  <c r="G15" i="1" l="1"/>
  <c r="K11" i="1"/>
  <c r="M11" i="1" s="1"/>
  <c r="L7" i="1"/>
  <c r="M7" i="1" s="1"/>
  <c r="G27" i="1"/>
  <c r="H12" i="1"/>
  <c r="H15" i="1" s="1"/>
  <c r="J12" i="1"/>
  <c r="J15" i="1" s="1"/>
  <c r="E15" i="1"/>
  <c r="E40" i="1" s="1"/>
  <c r="I32" i="1"/>
  <c r="K32" i="1" s="1"/>
  <c r="M32" i="1" s="1"/>
  <c r="L14" i="1"/>
  <c r="M14" i="1" s="1"/>
  <c r="K25" i="1"/>
  <c r="M25" i="1" s="1"/>
  <c r="I27" i="1"/>
  <c r="I19" i="1"/>
  <c r="K19" i="1" s="1"/>
  <c r="M19" i="1" s="1"/>
  <c r="K29" i="1"/>
  <c r="M29" i="1" s="1"/>
  <c r="H38" i="1"/>
  <c r="K17" i="1"/>
  <c r="M17" i="1" s="1"/>
  <c r="L8" i="1"/>
  <c r="M8" i="1" s="1"/>
  <c r="J9" i="1"/>
  <c r="L5" i="1"/>
  <c r="G9" i="1"/>
  <c r="G40" i="1" s="1"/>
  <c r="L13" i="1"/>
  <c r="M13" i="1" s="1"/>
  <c r="K5" i="1"/>
  <c r="I9" i="1"/>
  <c r="J40" i="1" l="1"/>
  <c r="K27" i="1"/>
  <c r="M27" i="1" s="1"/>
  <c r="K9" i="1"/>
  <c r="L15" i="1"/>
  <c r="J43" i="1"/>
  <c r="I43" i="1"/>
  <c r="G42" i="1"/>
  <c r="L12" i="1"/>
  <c r="L9" i="1"/>
  <c r="M5" i="1"/>
  <c r="E43" i="1"/>
  <c r="E44" i="1" s="1"/>
  <c r="H43" i="1"/>
  <c r="K12" i="1"/>
  <c r="M12" i="1" l="1"/>
  <c r="J44" i="1"/>
  <c r="G43" i="1"/>
  <c r="K42" i="1"/>
  <c r="L40" i="1"/>
  <c r="H40" i="1"/>
  <c r="H44" i="1" s="1"/>
  <c r="M9" i="1"/>
  <c r="L42" i="1"/>
  <c r="I40" i="1"/>
  <c r="I44" i="1" s="1"/>
  <c r="K15" i="1"/>
  <c r="L43" i="1"/>
  <c r="K43" i="1" l="1"/>
  <c r="M43" i="1" s="1"/>
  <c r="G44" i="1"/>
  <c r="K48" i="1" s="1"/>
  <c r="L48" i="1"/>
  <c r="L50" i="1" s="1"/>
  <c r="L44" i="1"/>
  <c r="M15" i="1"/>
  <c r="M40" i="1" s="1"/>
  <c r="K40" i="1"/>
  <c r="K44" i="1" s="1"/>
  <c r="I46" i="1"/>
  <c r="J46" i="1"/>
  <c r="M48" i="1" l="1"/>
  <c r="M50" i="1" s="1"/>
  <c r="K50" i="1"/>
  <c r="G46" i="1"/>
  <c r="H46" i="1"/>
  <c r="M44" i="1"/>
  <c r="K46" i="1" s="1"/>
  <c r="L46" i="1" l="1"/>
</calcChain>
</file>

<file path=xl/sharedStrings.xml><?xml version="1.0" encoding="utf-8"?>
<sst xmlns="http://schemas.openxmlformats.org/spreadsheetml/2006/main" count="136" uniqueCount="54">
  <si>
    <t>Category</t>
  </si>
  <si>
    <t>Detailed Description of Budget 
(for full grant period)</t>
  </si>
  <si>
    <t>a.  Personnel</t>
  </si>
  <si>
    <t>Quantity</t>
  </si>
  <si>
    <t>Unit Cost</t>
  </si>
  <si>
    <t xml:space="preserve">Total Cost </t>
  </si>
  <si>
    <t>Federal</t>
  </si>
  <si>
    <t>Non-Federal</t>
  </si>
  <si>
    <t xml:space="preserve">     Total Personnel</t>
  </si>
  <si>
    <t xml:space="preserve">
b. Fringe
</t>
  </si>
  <si>
    <t>Total Fringe</t>
  </si>
  <si>
    <t>c. Travel</t>
  </si>
  <si>
    <t xml:space="preserve">     Total Travel</t>
  </si>
  <si>
    <t>d.  Equipment</t>
  </si>
  <si>
    <t xml:space="preserve">     Total Equipment</t>
  </si>
  <si>
    <t>e. Supplies</t>
  </si>
  <si>
    <t xml:space="preserve">     Total Supplies</t>
  </si>
  <si>
    <t>f.  Contractual</t>
  </si>
  <si>
    <t xml:space="preserve">     Total Contractual</t>
  </si>
  <si>
    <t>g.  Construction</t>
  </si>
  <si>
    <t xml:space="preserve">     Total Construction</t>
  </si>
  <si>
    <t>h.  Other</t>
  </si>
  <si>
    <t xml:space="preserve">     Total Other</t>
  </si>
  <si>
    <t>Total Direct Charges</t>
  </si>
  <si>
    <t>i.  Indirect Costs</t>
  </si>
  <si>
    <t xml:space="preserve">     Total Indirect</t>
  </si>
  <si>
    <t>TOTALS</t>
  </si>
  <si>
    <t>Match Proportion:</t>
  </si>
  <si>
    <t>Total Project Costs</t>
  </si>
  <si>
    <t>Goal:</t>
  </si>
  <si>
    <t>Total Breakdown of Costs</t>
  </si>
  <si>
    <t>Increment 1</t>
  </si>
  <si>
    <t>Increment 2</t>
  </si>
  <si>
    <t>Arizona SLIGP 2.0 Detailed Budget Spreadsheet</t>
  </si>
  <si>
    <t>Indirect Costs
10% of all SLIGP funded personnel wages and fringe. Indirect costs go to General Support Division to pay salaries for HR, Finance, and IT which benefits the state agency overall.</t>
  </si>
  <si>
    <t>match</t>
  </si>
  <si>
    <t>total award</t>
  </si>
  <si>
    <t>federal</t>
  </si>
  <si>
    <t>Monthly IT support, monthly cell phone bills, allocated costs for rent etc.</t>
  </si>
  <si>
    <t>SWIC- AZ DPS - The SWIC will spend 10% of their time on SLIGP 2.0 Grant Activities for 2 years.  The annual salary is $102,505.</t>
  </si>
  <si>
    <t>The ADOA/GFR Assistant Director will spend 10% of their time on SLIGP 2.0 Grant Activities for 2 years.  The annual salary is $113,400</t>
  </si>
  <si>
    <r>
      <t>Out of state travel for regional and national meetings with FirstNet or other approved stakeholders.  Three employees/contractor will travel to a total of 4 meetings. Total number of trips is 12 at a cost of  approximately $1,350 including: $800 round trip airfare, $370 total lodging for two nights and estimated per diem of $180 at $60 a day for three days</t>
    </r>
    <r>
      <rPr>
        <b/>
        <sz val="11"/>
        <color theme="1"/>
        <rFont val="Arial"/>
        <family val="2"/>
      </rPr>
      <t xml:space="preserve">.  </t>
    </r>
  </si>
  <si>
    <t>AZ SPOC-AZ DPS Lt.Colonel - The AZ SPOC will spend 15% of their time on SLIGP 2.0 Grant Activities for 2 years.  The annual salary is $148,966</t>
  </si>
  <si>
    <t>Communications Manager- AZ DPS - The communications manager will spend 15% of their time on SLIGP 2.0 Grant Activities for 2 years.  The annual salary is $93,568</t>
  </si>
  <si>
    <t>General Office supplies, to include but not limited to copy paper,pens,binders, etc - average estimate $100.00 per month</t>
  </si>
  <si>
    <t>AZ SPOC -AZ DPS Lt. Colonel:
The AZ SPOC will spend 15% of their time on SLIGP 2.0 Grant Activities for 2 years.  The annual salary is $148,966 and fringe rate is billed at 33.2%</t>
  </si>
  <si>
    <t>The ADOA/GFR Assistant Director will spend 10% of their time on SLIGP 2.0 Grant Activities for 2 years.  The annual salary is $113,400 and fringe rate is 35%</t>
  </si>
  <si>
    <t>Communications Manager- AZ DPS - The communications manager will spend 15% of their time on SLIGP 2.0 Grant Activities for 2 years.  The annual salary is $93,568 and fringe rate is 30.7%</t>
  </si>
  <si>
    <t>SWIC- AZ DPS - The SWIC will spend 10% of their time on SLIGP 2.0 Grant Activities for 2 years.  The annual salary is $102,505 and fringe rate 40.4%</t>
  </si>
  <si>
    <t xml:space="preserve">In-State:  Two employees/contractors, traveling together, to take 1 trip per quarter for 8 quarters for a total of 16 trips. Per diem of $45.00 a day for three days; lodging of $95 a night for two nights and mileage.  The cost of each trip per person is approximately $350.  There will be 16 trips (2 people for 8 trips).  </t>
  </si>
  <si>
    <t>Meeting supplies for SIEC and Working Groups to include but not limited to, handouts, binders, memory sticks, estimated at $250 x 8 quarters</t>
  </si>
  <si>
    <t>Project Management consultant 75% time over 2 years</t>
  </si>
  <si>
    <t>Technical &amp; Subject Matter Expert Consultant</t>
  </si>
  <si>
    <t>Stakeholder time for attendance at governance meetings, stakeholder events and FirstNet or partner events.  Average of $50/hour. 50 stakeholders for 20 2-hour meetings for a total of 1,000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</si>
</sst>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0.000%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name val="Times Bold Italic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1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9" xfId="0" applyFont="1" applyFill="1" applyBorder="1" applyProtection="1"/>
    <xf numFmtId="0" fontId="4" fillId="0" borderId="2" xfId="0" applyFont="1" applyBorder="1" applyProtection="1"/>
    <xf numFmtId="0" fontId="5" fillId="0" borderId="3" xfId="0" applyFon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5" fontId="6" fillId="0" borderId="4" xfId="0" applyNumberFormat="1" applyFont="1" applyBorder="1" applyAlignment="1" applyProtection="1">
      <alignment horizontal="center" vertical="center"/>
      <protection locked="0"/>
    </xf>
    <xf numFmtId="6" fontId="6" fillId="0" borderId="1" xfId="1" applyNumberFormat="1" applyFont="1" applyBorder="1" applyAlignment="1" applyProtection="1">
      <alignment horizontal="center" vertical="center"/>
    </xf>
    <xf numFmtId="0" fontId="6" fillId="0" borderId="9" xfId="0" applyFont="1" applyBorder="1" applyProtection="1"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9" fontId="0" fillId="0" borderId="0" xfId="2" applyFont="1"/>
    <xf numFmtId="0" fontId="7" fillId="0" borderId="29" xfId="0" applyFont="1" applyFill="1" applyBorder="1" applyAlignment="1" applyProtection="1">
      <alignment vertical="center" wrapText="1"/>
    </xf>
    <xf numFmtId="0" fontId="6" fillId="0" borderId="29" xfId="0" applyFont="1" applyBorder="1" applyProtection="1">
      <protection locked="0"/>
    </xf>
    <xf numFmtId="0" fontId="5" fillId="0" borderId="32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5" fillId="0" borderId="24" xfId="0" applyFont="1" applyBorder="1" applyAlignment="1" applyProtection="1">
      <alignment vertical="center"/>
    </xf>
    <xf numFmtId="0" fontId="6" fillId="0" borderId="25" xfId="0" applyFont="1" applyBorder="1" applyProtection="1"/>
    <xf numFmtId="0" fontId="5" fillId="0" borderId="2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</xf>
    <xf numFmtId="0" fontId="4" fillId="0" borderId="33" xfId="0" applyFont="1" applyBorder="1" applyProtection="1"/>
    <xf numFmtId="0" fontId="5" fillId="2" borderId="14" xfId="0" applyFont="1" applyFill="1" applyBorder="1" applyProtection="1"/>
    <xf numFmtId="0" fontId="5" fillId="0" borderId="24" xfId="0" applyFont="1" applyBorder="1" applyAlignment="1" applyProtection="1">
      <alignment horizontal="left" vertical="center" wrapText="1"/>
    </xf>
    <xf numFmtId="0" fontId="4" fillId="0" borderId="25" xfId="0" applyFont="1" applyBorder="1" applyProtection="1"/>
    <xf numFmtId="0" fontId="4" fillId="0" borderId="21" xfId="0" applyFont="1" applyBorder="1" applyProtection="1"/>
    <xf numFmtId="0" fontId="5" fillId="3" borderId="38" xfId="0" applyFont="1" applyFill="1" applyBorder="1" applyProtection="1"/>
    <xf numFmtId="0" fontId="5" fillId="0" borderId="34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wrapText="1"/>
    </xf>
    <xf numFmtId="0" fontId="5" fillId="0" borderId="40" xfId="0" applyFont="1" applyBorder="1" applyAlignment="1" applyProtection="1">
      <alignment horizontal="center" vertical="center"/>
    </xf>
    <xf numFmtId="0" fontId="6" fillId="0" borderId="41" xfId="0" applyFont="1" applyBorder="1" applyProtection="1"/>
    <xf numFmtId="0" fontId="6" fillId="3" borderId="14" xfId="0" applyFont="1" applyFill="1" applyBorder="1" applyProtection="1"/>
    <xf numFmtId="0" fontId="5" fillId="0" borderId="24" xfId="0" applyFont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center" vertical="center"/>
    </xf>
    <xf numFmtId="44" fontId="6" fillId="0" borderId="4" xfId="1" applyFont="1" applyBorder="1" applyAlignment="1" applyProtection="1">
      <alignment horizontal="right"/>
      <protection locked="0"/>
    </xf>
    <xf numFmtId="44" fontId="5" fillId="0" borderId="20" xfId="1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26" xfId="0" applyFont="1" applyBorder="1" applyProtection="1"/>
    <xf numFmtId="0" fontId="6" fillId="3" borderId="8" xfId="0" applyFont="1" applyFill="1" applyBorder="1" applyProtection="1"/>
    <xf numFmtId="165" fontId="5" fillId="0" borderId="10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0" fontId="5" fillId="0" borderId="41" xfId="0" applyFont="1" applyBorder="1" applyProtection="1"/>
    <xf numFmtId="164" fontId="5" fillId="2" borderId="36" xfId="0" applyNumberFormat="1" applyFont="1" applyFill="1" applyBorder="1" applyAlignment="1" applyProtection="1">
      <alignment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4" borderId="40" xfId="0" applyFont="1" applyFill="1" applyBorder="1" applyAlignment="1" applyProtection="1">
      <alignment horizontal="center" vertical="center"/>
    </xf>
    <xf numFmtId="0" fontId="6" fillId="4" borderId="42" xfId="0" applyFont="1" applyFill="1" applyBorder="1" applyProtection="1"/>
    <xf numFmtId="0" fontId="6" fillId="4" borderId="43" xfId="0" applyFont="1" applyFill="1" applyBorder="1" applyProtection="1"/>
    <xf numFmtId="0" fontId="5" fillId="0" borderId="18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center"/>
    </xf>
    <xf numFmtId="0" fontId="0" fillId="0" borderId="3" xfId="0" applyBorder="1"/>
    <xf numFmtId="0" fontId="6" fillId="0" borderId="7" xfId="0" applyFont="1" applyFill="1" applyBorder="1" applyAlignment="1" applyProtection="1">
      <alignment horizontal="center" wrapText="1"/>
    </xf>
    <xf numFmtId="0" fontId="5" fillId="0" borderId="27" xfId="0" applyFont="1" applyBorder="1" applyAlignment="1" applyProtection="1">
      <alignment horizontal="center" wrapText="1"/>
    </xf>
    <xf numFmtId="0" fontId="6" fillId="3" borderId="14" xfId="0" applyFont="1" applyFill="1" applyBorder="1" applyAlignment="1" applyProtection="1"/>
    <xf numFmtId="0" fontId="5" fillId="0" borderId="47" xfId="0" applyFont="1" applyBorder="1" applyAlignment="1" applyProtection="1">
      <alignment vertical="center"/>
    </xf>
    <xf numFmtId="0" fontId="6" fillId="0" borderId="48" xfId="0" applyFont="1" applyBorder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6" fontId="6" fillId="0" borderId="7" xfId="0" applyNumberFormat="1" applyFont="1" applyFill="1" applyBorder="1" applyAlignment="1" applyProtection="1">
      <alignment horizontal="center" wrapText="1"/>
    </xf>
    <xf numFmtId="6" fontId="6" fillId="0" borderId="5" xfId="1" applyNumberFormat="1" applyFont="1" applyFill="1" applyBorder="1" applyAlignment="1" applyProtection="1"/>
    <xf numFmtId="6" fontId="5" fillId="2" borderId="14" xfId="0" applyNumberFormat="1" applyFont="1" applyFill="1" applyBorder="1" applyProtection="1"/>
    <xf numFmtId="6" fontId="5" fillId="0" borderId="20" xfId="1" applyNumberFormat="1" applyFont="1" applyFill="1" applyBorder="1" applyAlignment="1" applyProtection="1"/>
    <xf numFmtId="165" fontId="6" fillId="0" borderId="7" xfId="0" applyNumberFormat="1" applyFont="1" applyBorder="1" applyAlignment="1" applyProtection="1">
      <alignment horizontal="center" wrapText="1"/>
    </xf>
    <xf numFmtId="165" fontId="6" fillId="0" borderId="5" xfId="1" applyNumberFormat="1" applyFont="1" applyBorder="1" applyAlignment="1" applyProtection="1">
      <alignment horizontal="right"/>
    </xf>
    <xf numFmtId="165" fontId="5" fillId="3" borderId="38" xfId="0" applyNumberFormat="1" applyFont="1" applyFill="1" applyBorder="1" applyProtection="1"/>
    <xf numFmtId="165" fontId="5" fillId="0" borderId="39" xfId="1" applyNumberFormat="1" applyFont="1" applyFill="1" applyBorder="1" applyAlignment="1" applyProtection="1">
      <alignment horizontal="right" vertical="center"/>
    </xf>
    <xf numFmtId="165" fontId="5" fillId="0" borderId="27" xfId="0" applyNumberFormat="1" applyFont="1" applyBorder="1" applyAlignment="1" applyProtection="1">
      <alignment horizontal="center" wrapText="1"/>
    </xf>
    <xf numFmtId="165" fontId="5" fillId="0" borderId="18" xfId="0" applyNumberFormat="1" applyFont="1" applyBorder="1" applyAlignment="1" applyProtection="1">
      <alignment horizontal="center" wrapText="1"/>
    </xf>
    <xf numFmtId="165" fontId="6" fillId="0" borderId="1" xfId="1" applyNumberFormat="1" applyFont="1" applyFill="1" applyBorder="1" applyAlignment="1" applyProtection="1">
      <alignment horizontal="right"/>
    </xf>
    <xf numFmtId="165" fontId="6" fillId="3" borderId="14" xfId="0" applyNumberFormat="1" applyFont="1" applyFill="1" applyBorder="1" applyAlignment="1" applyProtection="1"/>
    <xf numFmtId="165" fontId="5" fillId="0" borderId="20" xfId="1" applyNumberFormat="1" applyFont="1" applyFill="1" applyBorder="1" applyAlignment="1" applyProtection="1">
      <alignment horizontal="right"/>
    </xf>
    <xf numFmtId="165" fontId="5" fillId="0" borderId="22" xfId="1" applyNumberFormat="1" applyFont="1" applyFill="1" applyBorder="1" applyAlignment="1" applyProtection="1">
      <alignment horizontal="right"/>
    </xf>
    <xf numFmtId="165" fontId="6" fillId="3" borderId="14" xfId="0" applyNumberFormat="1" applyFont="1" applyFill="1" applyBorder="1" applyProtection="1"/>
    <xf numFmtId="165" fontId="5" fillId="0" borderId="14" xfId="1" applyNumberFormat="1" applyFont="1" applyFill="1" applyBorder="1" applyAlignment="1" applyProtection="1">
      <alignment horizontal="right"/>
    </xf>
    <xf numFmtId="165" fontId="6" fillId="0" borderId="5" xfId="0" applyNumberFormat="1" applyFont="1" applyBorder="1" applyAlignment="1" applyProtection="1">
      <alignment horizontal="center" vertical="center" wrapText="1"/>
    </xf>
    <xf numFmtId="165" fontId="6" fillId="3" borderId="8" xfId="0" applyNumberFormat="1" applyFont="1" applyFill="1" applyBorder="1" applyProtection="1"/>
    <xf numFmtId="5" fontId="5" fillId="2" borderId="36" xfId="0" applyNumberFormat="1" applyFont="1" applyFill="1" applyBorder="1" applyAlignment="1" applyProtection="1">
      <alignment wrapText="1"/>
    </xf>
    <xf numFmtId="5" fontId="5" fillId="2" borderId="41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5" fillId="2" borderId="41" xfId="0" applyNumberFormat="1" applyFont="1" applyFill="1" applyBorder="1" applyAlignment="1" applyProtection="1">
      <alignment wrapText="1"/>
    </xf>
    <xf numFmtId="165" fontId="6" fillId="4" borderId="38" xfId="0" applyNumberFormat="1" applyFont="1" applyFill="1" applyBorder="1" applyProtection="1"/>
    <xf numFmtId="165" fontId="5" fillId="4" borderId="44" xfId="1" applyNumberFormat="1" applyFont="1" applyFill="1" applyBorder="1" applyAlignment="1" applyProtection="1">
      <alignment horizontal="right"/>
    </xf>
    <xf numFmtId="165" fontId="5" fillId="4" borderId="40" xfId="1" applyNumberFormat="1" applyFont="1" applyFill="1" applyBorder="1" applyAlignment="1" applyProtection="1">
      <alignment horizontal="right"/>
    </xf>
    <xf numFmtId="165" fontId="5" fillId="0" borderId="16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wrapText="1"/>
    </xf>
    <xf numFmtId="0" fontId="5" fillId="2" borderId="47" xfId="0" applyFont="1" applyFill="1" applyBorder="1" applyAlignment="1" applyProtection="1">
      <alignment wrapText="1"/>
    </xf>
    <xf numFmtId="0" fontId="5" fillId="2" borderId="39" xfId="0" applyFont="1" applyFill="1" applyBorder="1" applyAlignment="1" applyProtection="1">
      <alignment wrapText="1"/>
    </xf>
    <xf numFmtId="0" fontId="5" fillId="2" borderId="23" xfId="0" applyFont="1" applyFill="1" applyBorder="1" applyAlignment="1" applyProtection="1">
      <alignment wrapText="1"/>
    </xf>
    <xf numFmtId="165" fontId="5" fillId="2" borderId="47" xfId="0" applyNumberFormat="1" applyFont="1" applyFill="1" applyBorder="1" applyAlignment="1" applyProtection="1">
      <alignment wrapText="1"/>
    </xf>
    <xf numFmtId="165" fontId="5" fillId="2" borderId="39" xfId="0" applyNumberFormat="1" applyFont="1" applyFill="1" applyBorder="1" applyAlignment="1" applyProtection="1">
      <alignment wrapText="1"/>
    </xf>
    <xf numFmtId="164" fontId="5" fillId="2" borderId="23" xfId="0" applyNumberFormat="1" applyFont="1" applyFill="1" applyBorder="1" applyAlignment="1" applyProtection="1">
      <alignment wrapText="1"/>
    </xf>
    <xf numFmtId="164" fontId="5" fillId="2" borderId="47" xfId="0" applyNumberFormat="1" applyFont="1" applyFill="1" applyBorder="1" applyAlignment="1" applyProtection="1">
      <alignment wrapText="1"/>
    </xf>
    <xf numFmtId="164" fontId="5" fillId="2" borderId="39" xfId="0" applyNumberFormat="1" applyFont="1" applyFill="1" applyBorder="1" applyAlignment="1" applyProtection="1">
      <alignment wrapText="1"/>
    </xf>
    <xf numFmtId="0" fontId="5" fillId="0" borderId="50" xfId="0" applyFont="1" applyBorder="1" applyAlignment="1">
      <alignment horizontal="center" vertical="center"/>
    </xf>
    <xf numFmtId="164" fontId="5" fillId="0" borderId="28" xfId="0" applyNumberFormat="1" applyFont="1" applyBorder="1" applyAlignment="1" applyProtection="1">
      <alignment horizontal="center" vertical="center" wrapText="1"/>
    </xf>
    <xf numFmtId="165" fontId="6" fillId="0" borderId="51" xfId="0" applyNumberFormat="1" applyFont="1" applyFill="1" applyBorder="1" applyAlignment="1">
      <alignment horizontal="right"/>
    </xf>
    <xf numFmtId="165" fontId="5" fillId="0" borderId="52" xfId="1" applyNumberFormat="1" applyFont="1" applyFill="1" applyBorder="1" applyAlignment="1" applyProtection="1">
      <alignment horizontal="center" vertical="center"/>
    </xf>
    <xf numFmtId="165" fontId="5" fillId="0" borderId="22" xfId="1" applyNumberFormat="1" applyFont="1" applyFill="1" applyBorder="1" applyAlignment="1" applyProtection="1">
      <alignment horizontal="center" vertical="center"/>
    </xf>
    <xf numFmtId="165" fontId="5" fillId="0" borderId="51" xfId="1" applyNumberFormat="1" applyFont="1" applyFill="1" applyBorder="1" applyAlignment="1" applyProtection="1">
      <alignment horizontal="center" vertical="center"/>
    </xf>
    <xf numFmtId="165" fontId="6" fillId="0" borderId="30" xfId="1" applyNumberFormat="1" applyFont="1" applyFill="1" applyBorder="1" applyAlignment="1" applyProtection="1">
      <alignment horizontal="center"/>
    </xf>
    <xf numFmtId="165" fontId="6" fillId="0" borderId="30" xfId="1" applyNumberFormat="1" applyFont="1" applyFill="1" applyBorder="1" applyAlignment="1" applyProtection="1">
      <alignment horizontal="left"/>
      <protection locked="0"/>
    </xf>
    <xf numFmtId="165" fontId="5" fillId="0" borderId="52" xfId="1" applyNumberFormat="1" applyFont="1" applyFill="1" applyBorder="1" applyAlignment="1" applyProtection="1">
      <alignment horizontal="center"/>
    </xf>
    <xf numFmtId="165" fontId="5" fillId="0" borderId="22" xfId="1" applyNumberFormat="1" applyFont="1" applyFill="1" applyBorder="1" applyAlignment="1" applyProtection="1">
      <alignment horizontal="center"/>
    </xf>
    <xf numFmtId="5" fontId="6" fillId="0" borderId="51" xfId="0" applyNumberFormat="1" applyFont="1" applyBorder="1" applyAlignment="1" applyProtection="1">
      <alignment horizontal="center" vertical="center"/>
      <protection locked="0"/>
    </xf>
    <xf numFmtId="44" fontId="6" fillId="0" borderId="30" xfId="1" applyFont="1" applyBorder="1" applyAlignment="1" applyProtection="1">
      <alignment horizontal="center" vertical="center"/>
      <protection locked="0"/>
    </xf>
    <xf numFmtId="164" fontId="5" fillId="0" borderId="52" xfId="1" applyNumberFormat="1" applyFont="1" applyFill="1" applyBorder="1" applyAlignment="1" applyProtection="1">
      <alignment horizontal="center" vertical="center"/>
    </xf>
    <xf numFmtId="44" fontId="5" fillId="0" borderId="22" xfId="1" applyNumberFormat="1" applyFont="1" applyFill="1" applyBorder="1" applyAlignment="1" applyProtection="1">
      <alignment horizontal="center" vertical="center"/>
    </xf>
    <xf numFmtId="165" fontId="6" fillId="0" borderId="30" xfId="0" applyNumberFormat="1" applyFont="1" applyBorder="1" applyAlignment="1" applyProtection="1">
      <alignment horizontal="center" wrapText="1"/>
    </xf>
    <xf numFmtId="165" fontId="5" fillId="0" borderId="30" xfId="0" applyNumberFormat="1" applyFont="1" applyBorder="1" applyAlignment="1" applyProtection="1">
      <alignment horizontal="center" wrapText="1"/>
    </xf>
    <xf numFmtId="165" fontId="5" fillId="0" borderId="52" xfId="1" applyNumberFormat="1" applyFont="1" applyFill="1" applyBorder="1" applyAlignment="1" applyProtection="1">
      <alignment horizontal="right"/>
    </xf>
    <xf numFmtId="165" fontId="6" fillId="0" borderId="53" xfId="1" applyNumberFormat="1" applyFont="1" applyBorder="1" applyAlignment="1">
      <alignment horizontal="center" vertical="center"/>
    </xf>
    <xf numFmtId="165" fontId="6" fillId="0" borderId="30" xfId="1" applyNumberFormat="1" applyFont="1" applyFill="1" applyBorder="1" applyAlignment="1" applyProtection="1">
      <alignment horizontal="right"/>
      <protection locked="0"/>
    </xf>
    <xf numFmtId="165" fontId="5" fillId="0" borderId="54" xfId="1" applyNumberFormat="1" applyFont="1" applyFill="1" applyBorder="1" applyAlignment="1" applyProtection="1">
      <alignment horizontal="right"/>
    </xf>
    <xf numFmtId="165" fontId="5" fillId="0" borderId="55" xfId="1" applyNumberFormat="1" applyFont="1" applyFill="1" applyBorder="1" applyAlignment="1" applyProtection="1">
      <alignment horizontal="right"/>
    </xf>
    <xf numFmtId="44" fontId="6" fillId="0" borderId="51" xfId="1" applyFont="1" applyBorder="1" applyAlignment="1">
      <alignment horizontal="left"/>
    </xf>
    <xf numFmtId="44" fontId="6" fillId="0" borderId="30" xfId="1" applyFont="1" applyBorder="1" applyAlignment="1" applyProtection="1">
      <alignment horizontal="left" vertical="top" wrapText="1"/>
    </xf>
    <xf numFmtId="6" fontId="5" fillId="0" borderId="52" xfId="1" applyNumberFormat="1" applyFont="1" applyFill="1" applyBorder="1" applyAlignment="1" applyProtection="1">
      <alignment horizontal="center" vertical="center"/>
    </xf>
    <xf numFmtId="6" fontId="5" fillId="0" borderId="22" xfId="1" applyNumberFormat="1" applyFont="1" applyFill="1" applyBorder="1" applyAlignment="1" applyProtection="1">
      <alignment horizontal="center" vertical="center"/>
    </xf>
    <xf numFmtId="5" fontId="6" fillId="0" borderId="50" xfId="1" applyNumberFormat="1" applyFont="1" applyFill="1" applyBorder="1" applyAlignment="1" applyProtection="1">
      <alignment horizontal="right"/>
      <protection locked="0"/>
    </xf>
    <xf numFmtId="5" fontId="6" fillId="0" borderId="28" xfId="1" applyNumberFormat="1" applyFont="1" applyFill="1" applyBorder="1" applyAlignment="1" applyProtection="1">
      <alignment horizontal="right" wrapText="1"/>
      <protection locked="0"/>
    </xf>
    <xf numFmtId="5" fontId="5" fillId="0" borderId="52" xfId="1" applyNumberFormat="1" applyFont="1" applyFill="1" applyBorder="1" applyAlignment="1" applyProtection="1">
      <alignment horizontal="right"/>
    </xf>
    <xf numFmtId="5" fontId="5" fillId="0" borderId="22" xfId="1" applyNumberFormat="1" applyFont="1" applyFill="1" applyBorder="1" applyAlignment="1" applyProtection="1">
      <alignment horizontal="right" wrapText="1"/>
    </xf>
    <xf numFmtId="165" fontId="5" fillId="0" borderId="56" xfId="1" applyNumberFormat="1" applyFont="1" applyFill="1" applyBorder="1" applyAlignment="1" applyProtection="1">
      <alignment horizontal="center" vertical="center"/>
    </xf>
    <xf numFmtId="165" fontId="6" fillId="0" borderId="30" xfId="1" applyNumberFormat="1" applyFont="1" applyBorder="1" applyAlignment="1" applyProtection="1">
      <alignment horizontal="right" wrapText="1"/>
      <protection locked="0"/>
    </xf>
    <xf numFmtId="165" fontId="5" fillId="4" borderId="57" xfId="1" applyNumberFormat="1" applyFont="1" applyFill="1" applyBorder="1" applyAlignment="1" applyProtection="1">
      <alignment horizontal="right"/>
    </xf>
    <xf numFmtId="165" fontId="6" fillId="0" borderId="31" xfId="1" applyNumberFormat="1" applyFont="1" applyFill="1" applyBorder="1" applyAlignment="1" applyProtection="1">
      <alignment horizontal="center"/>
    </xf>
    <xf numFmtId="165" fontId="6" fillId="0" borderId="31" xfId="1" applyNumberFormat="1" applyFont="1" applyFill="1" applyBorder="1" applyAlignment="1" applyProtection="1">
      <alignment horizontal="left"/>
      <protection locked="0"/>
    </xf>
    <xf numFmtId="165" fontId="5" fillId="0" borderId="37" xfId="1" applyNumberFormat="1" applyFont="1" applyFill="1" applyBorder="1" applyAlignment="1" applyProtection="1">
      <alignment horizontal="center"/>
    </xf>
    <xf numFmtId="165" fontId="6" fillId="0" borderId="31" xfId="0" applyNumberFormat="1" applyFont="1" applyBorder="1" applyAlignment="1" applyProtection="1">
      <alignment horizontal="center" wrapText="1"/>
    </xf>
    <xf numFmtId="165" fontId="5" fillId="0" borderId="37" xfId="1" applyNumberFormat="1" applyFont="1" applyFill="1" applyBorder="1" applyAlignment="1" applyProtection="1">
      <alignment horizontal="right"/>
    </xf>
    <xf numFmtId="165" fontId="6" fillId="0" borderId="31" xfId="1" applyNumberFormat="1" applyFont="1" applyFill="1" applyBorder="1" applyAlignment="1" applyProtection="1">
      <alignment horizontal="right"/>
      <protection locked="0"/>
    </xf>
    <xf numFmtId="165" fontId="5" fillId="0" borderId="59" xfId="1" applyNumberFormat="1" applyFont="1" applyFill="1" applyBorder="1" applyAlignment="1" applyProtection="1">
      <alignment horizontal="right"/>
    </xf>
    <xf numFmtId="5" fontId="6" fillId="0" borderId="24" xfId="1" applyNumberFormat="1" applyFont="1" applyFill="1" applyBorder="1" applyAlignment="1" applyProtection="1">
      <alignment horizontal="right" wrapText="1"/>
      <protection locked="0"/>
    </xf>
    <xf numFmtId="5" fontId="5" fillId="0" borderId="37" xfId="1" applyNumberFormat="1" applyFont="1" applyFill="1" applyBorder="1" applyAlignment="1" applyProtection="1">
      <alignment horizontal="right" wrapText="1"/>
    </xf>
    <xf numFmtId="165" fontId="6" fillId="0" borderId="31" xfId="1" applyNumberFormat="1" applyFont="1" applyBorder="1" applyAlignment="1" applyProtection="1">
      <alignment horizontal="right" wrapText="1"/>
      <protection locked="0"/>
    </xf>
    <xf numFmtId="165" fontId="5" fillId="4" borderId="42" xfId="1" applyNumberFormat="1" applyFont="1" applyFill="1" applyBorder="1" applyAlignment="1" applyProtection="1">
      <alignment horizontal="right"/>
    </xf>
    <xf numFmtId="0" fontId="4" fillId="0" borderId="58" xfId="0" applyFont="1" applyBorder="1" applyAlignment="1" applyProtection="1">
      <alignment vertical="center"/>
    </xf>
    <xf numFmtId="0" fontId="5" fillId="2" borderId="60" xfId="0" applyFont="1" applyFill="1" applyBorder="1" applyProtection="1"/>
    <xf numFmtId="165" fontId="6" fillId="0" borderId="61" xfId="1" applyNumberFormat="1" applyFont="1" applyFill="1" applyBorder="1" applyAlignment="1" applyProtection="1"/>
    <xf numFmtId="165" fontId="5" fillId="0" borderId="62" xfId="1" applyNumberFormat="1" applyFont="1" applyFill="1" applyBorder="1" applyAlignment="1" applyProtection="1"/>
    <xf numFmtId="0" fontId="5" fillId="5" borderId="60" xfId="0" applyFont="1" applyFill="1" applyBorder="1" applyProtection="1"/>
    <xf numFmtId="165" fontId="5" fillId="0" borderId="62" xfId="1" applyNumberFormat="1" applyFont="1" applyFill="1" applyBorder="1" applyAlignment="1" applyProtection="1">
      <alignment horizontal="right" vertical="center"/>
    </xf>
    <xf numFmtId="165" fontId="6" fillId="3" borderId="60" xfId="0" applyNumberFormat="1" applyFont="1" applyFill="1" applyBorder="1" applyAlignment="1" applyProtection="1"/>
    <xf numFmtId="165" fontId="5" fillId="0" borderId="62" xfId="1" applyNumberFormat="1" applyFont="1" applyFill="1" applyBorder="1" applyAlignment="1" applyProtection="1">
      <alignment horizontal="right"/>
    </xf>
    <xf numFmtId="0" fontId="6" fillId="3" borderId="60" xfId="0" applyFont="1" applyFill="1" applyBorder="1" applyProtection="1"/>
    <xf numFmtId="0" fontId="0" fillId="0" borderId="63" xfId="0" applyBorder="1"/>
    <xf numFmtId="44" fontId="5" fillId="0" borderId="62" xfId="1" applyFont="1" applyFill="1" applyBorder="1" applyAlignment="1" applyProtection="1">
      <alignment horizontal="right" vertical="center"/>
    </xf>
    <xf numFmtId="0" fontId="0" fillId="5" borderId="60" xfId="0" applyFill="1" applyBorder="1"/>
    <xf numFmtId="165" fontId="0" fillId="0" borderId="63" xfId="0" applyNumberFormat="1" applyBorder="1" applyAlignment="1"/>
    <xf numFmtId="0" fontId="0" fillId="0" borderId="45" xfId="0" applyBorder="1"/>
    <xf numFmtId="5" fontId="0" fillId="0" borderId="60" xfId="1" applyNumberFormat="1" applyFont="1" applyFill="1" applyBorder="1" applyAlignment="1">
      <alignment horizontal="right"/>
    </xf>
    <xf numFmtId="5" fontId="5" fillId="0" borderId="62" xfId="1" applyNumberFormat="1" applyFont="1" applyFill="1" applyBorder="1" applyAlignment="1" applyProtection="1">
      <alignment horizontal="right" vertical="center"/>
    </xf>
    <xf numFmtId="0" fontId="0" fillId="5" borderId="64" xfId="0" applyFill="1" applyBorder="1"/>
    <xf numFmtId="165" fontId="5" fillId="0" borderId="45" xfId="1" applyNumberFormat="1" applyFont="1" applyFill="1" applyBorder="1" applyAlignment="1" applyProtection="1">
      <alignment horizontal="center" vertical="center"/>
    </xf>
    <xf numFmtId="165" fontId="0" fillId="0" borderId="63" xfId="1" applyNumberFormat="1" applyFont="1" applyBorder="1" applyAlignment="1">
      <alignment horizontal="right"/>
    </xf>
    <xf numFmtId="165" fontId="5" fillId="0" borderId="42" xfId="1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3" fontId="0" fillId="0" borderId="0" xfId="0" applyNumberFormat="1"/>
    <xf numFmtId="165" fontId="6" fillId="0" borderId="29" xfId="0" applyNumberFormat="1" applyFont="1" applyFill="1" applyBorder="1" applyAlignment="1" applyProtection="1">
      <alignment horizontal="center" wrapText="1"/>
    </xf>
    <xf numFmtId="165" fontId="6" fillId="0" borderId="19" xfId="0" applyNumberFormat="1" applyFont="1" applyFill="1" applyBorder="1" applyAlignment="1" applyProtection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28" xfId="0" applyNumberFormat="1" applyFont="1" applyBorder="1" applyAlignment="1" applyProtection="1">
      <alignment horizontal="center" wrapText="1"/>
    </xf>
    <xf numFmtId="44" fontId="6" fillId="0" borderId="31" xfId="1" applyFont="1" applyBorder="1" applyAlignment="1" applyProtection="1">
      <alignment horizontal="center"/>
      <protection locked="0"/>
    </xf>
    <xf numFmtId="44" fontId="6" fillId="0" borderId="30" xfId="1" applyFont="1" applyBorder="1" applyAlignment="1" applyProtection="1">
      <alignment horizontal="center"/>
      <protection locked="0"/>
    </xf>
    <xf numFmtId="44" fontId="5" fillId="0" borderId="37" xfId="1" applyNumberFormat="1" applyFont="1" applyFill="1" applyBorder="1" applyAlignment="1" applyProtection="1">
      <alignment horizontal="center"/>
    </xf>
    <xf numFmtId="44" fontId="5" fillId="0" borderId="22" xfId="1" applyNumberFormat="1" applyFont="1" applyFill="1" applyBorder="1" applyAlignment="1" applyProtection="1">
      <alignment horizontal="center"/>
    </xf>
    <xf numFmtId="165" fontId="6" fillId="0" borderId="29" xfId="0" applyNumberFormat="1" applyFont="1" applyBorder="1" applyAlignment="1" applyProtection="1">
      <alignment horizontal="center" wrapText="1"/>
    </xf>
    <xf numFmtId="44" fontId="6" fillId="0" borderId="31" xfId="1" applyFont="1" applyBorder="1" applyAlignment="1" applyProtection="1">
      <alignment horizontal="left" wrapText="1"/>
    </xf>
    <xf numFmtId="44" fontId="6" fillId="0" borderId="30" xfId="1" applyFont="1" applyBorder="1" applyAlignment="1" applyProtection="1">
      <alignment horizontal="left" wrapText="1"/>
    </xf>
    <xf numFmtId="6" fontId="5" fillId="0" borderId="37" xfId="1" applyNumberFormat="1" applyFont="1" applyFill="1" applyBorder="1" applyAlignment="1" applyProtection="1">
      <alignment horizontal="center"/>
    </xf>
    <xf numFmtId="6" fontId="5" fillId="0" borderId="22" xfId="1" applyNumberFormat="1" applyFont="1" applyFill="1" applyBorder="1" applyAlignment="1" applyProtection="1">
      <alignment horizontal="center"/>
    </xf>
    <xf numFmtId="165" fontId="5" fillId="0" borderId="34" xfId="1" applyNumberFormat="1" applyFont="1" applyFill="1" applyBorder="1" applyAlignment="1" applyProtection="1">
      <alignment horizontal="center"/>
    </xf>
    <xf numFmtId="165" fontId="5" fillId="0" borderId="16" xfId="1" applyNumberFormat="1" applyFont="1" applyFill="1" applyBorder="1" applyAlignment="1" applyProtection="1">
      <alignment horizontal="center"/>
    </xf>
    <xf numFmtId="165" fontId="5" fillId="0" borderId="30" xfId="1" applyNumberFormat="1" applyFont="1" applyFill="1" applyBorder="1" applyAlignment="1" applyProtection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5" fontId="0" fillId="0" borderId="0" xfId="2" applyNumberFormat="1" applyFont="1"/>
    <xf numFmtId="165" fontId="6" fillId="0" borderId="51" xfId="1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165" fontId="6" fillId="0" borderId="3" xfId="1" applyNumberFormat="1" applyFont="1" applyFill="1" applyBorder="1" applyAlignment="1" applyProtection="1">
      <alignment horizontal="left" vertical="center" wrapText="1"/>
    </xf>
    <xf numFmtId="44" fontId="5" fillId="0" borderId="37" xfId="1" applyNumberFormat="1" applyFont="1" applyFill="1" applyBorder="1" applyAlignment="1" applyProtection="1">
      <alignment horizontal="right"/>
    </xf>
    <xf numFmtId="0" fontId="0" fillId="0" borderId="4" xfId="0" applyBorder="1"/>
    <xf numFmtId="9" fontId="0" fillId="0" borderId="4" xfId="2" applyFont="1" applyBorder="1"/>
    <xf numFmtId="9" fontId="0" fillId="0" borderId="2" xfId="2" applyFont="1" applyBorder="1"/>
    <xf numFmtId="9" fontId="0" fillId="0" borderId="30" xfId="2" applyFont="1" applyBorder="1"/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Protection="1"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7" fontId="12" fillId="0" borderId="27" xfId="0" applyNumberFormat="1" applyFont="1" applyFill="1" applyBorder="1" applyAlignment="1" applyProtection="1">
      <alignment horizontal="center"/>
      <protection locked="0"/>
    </xf>
    <xf numFmtId="5" fontId="12" fillId="0" borderId="27" xfId="1" applyNumberFormat="1" applyFont="1" applyFill="1" applyBorder="1" applyAlignment="1" applyProtection="1">
      <alignment horizontal="right"/>
    </xf>
    <xf numFmtId="0" fontId="11" fillId="0" borderId="40" xfId="0" applyFont="1" applyFill="1" applyBorder="1" applyAlignment="1" applyProtection="1">
      <alignment horizontal="center" vertical="center"/>
    </xf>
    <xf numFmtId="0" fontId="12" fillId="0" borderId="41" xfId="0" applyFont="1" applyFill="1" applyBorder="1" applyProtection="1"/>
    <xf numFmtId="0" fontId="12" fillId="0" borderId="14" xfId="0" applyFont="1" applyFill="1" applyBorder="1" applyProtection="1"/>
    <xf numFmtId="5" fontId="12" fillId="0" borderId="14" xfId="0" applyNumberFormat="1" applyFont="1" applyFill="1" applyBorder="1" applyProtection="1"/>
    <xf numFmtId="5" fontId="11" fillId="0" borderId="14" xfId="1" applyNumberFormat="1" applyFont="1" applyFill="1" applyBorder="1" applyAlignment="1" applyProtection="1">
      <alignment horizontal="right"/>
    </xf>
    <xf numFmtId="0" fontId="11" fillId="5" borderId="32" xfId="0" applyFont="1" applyFill="1" applyBorder="1" applyProtection="1"/>
    <xf numFmtId="0" fontId="12" fillId="5" borderId="0" xfId="0" applyFont="1" applyFill="1" applyBorder="1" applyProtection="1"/>
    <xf numFmtId="164" fontId="12" fillId="5" borderId="0" xfId="0" applyNumberFormat="1" applyFont="1" applyFill="1" applyBorder="1" applyAlignment="1" applyProtection="1">
      <alignment horizontal="right"/>
    </xf>
    <xf numFmtId="0" fontId="11" fillId="0" borderId="34" xfId="0" applyFont="1" applyFill="1" applyBorder="1" applyAlignment="1" applyProtection="1">
      <alignment horizontal="center" vertical="center"/>
    </xf>
    <xf numFmtId="0" fontId="12" fillId="0" borderId="45" xfId="0" applyFont="1" applyFill="1" applyBorder="1" applyProtection="1"/>
    <xf numFmtId="0" fontId="12" fillId="0" borderId="35" xfId="0" applyFont="1" applyFill="1" applyBorder="1" applyProtection="1"/>
    <xf numFmtId="0" fontId="12" fillId="0" borderId="17" xfId="0" applyFont="1" applyFill="1" applyBorder="1" applyProtection="1"/>
    <xf numFmtId="165" fontId="11" fillId="0" borderId="17" xfId="1" applyNumberFormat="1" applyFont="1" applyFill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/>
    <xf numFmtId="9" fontId="12" fillId="0" borderId="4" xfId="2" applyFont="1" applyBorder="1" applyAlignment="1" applyProtection="1">
      <alignment horizontal="center"/>
      <protection locked="0"/>
    </xf>
    <xf numFmtId="165" fontId="12" fillId="0" borderId="4" xfId="0" applyNumberFormat="1" applyFont="1" applyBorder="1" applyAlignment="1" applyProtection="1">
      <alignment horizontal="center"/>
      <protection locked="0"/>
    </xf>
    <xf numFmtId="165" fontId="12" fillId="0" borderId="4" xfId="1" applyNumberFormat="1" applyFont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vertical="center" wrapText="1"/>
    </xf>
    <xf numFmtId="0" fontId="12" fillId="0" borderId="9" xfId="0" applyFont="1" applyBorder="1" applyProtection="1"/>
    <xf numFmtId="0" fontId="12" fillId="0" borderId="7" xfId="0" applyFont="1" applyBorder="1" applyAlignment="1" applyProtection="1">
      <alignment horizontal="center" wrapText="1"/>
    </xf>
    <xf numFmtId="165" fontId="12" fillId="0" borderId="1" xfId="1" applyNumberFormat="1" applyFont="1" applyBorder="1" applyAlignment="1" applyProtection="1">
      <alignment horizontal="right"/>
    </xf>
    <xf numFmtId="165" fontId="11" fillId="2" borderId="47" xfId="0" applyNumberFormat="1" applyFont="1" applyFill="1" applyBorder="1" applyAlignment="1" applyProtection="1">
      <alignment wrapText="1"/>
    </xf>
    <xf numFmtId="165" fontId="12" fillId="0" borderId="51" xfId="1" applyNumberFormat="1" applyFont="1" applyBorder="1" applyAlignment="1" applyProtection="1">
      <alignment horizontal="center"/>
      <protection locked="0"/>
    </xf>
    <xf numFmtId="165" fontId="12" fillId="0" borderId="30" xfId="0" applyNumberFormat="1" applyFont="1" applyBorder="1" applyAlignment="1" applyProtection="1">
      <alignment horizontal="center" wrapText="1"/>
    </xf>
    <xf numFmtId="165" fontId="12" fillId="0" borderId="31" xfId="0" applyNumberFormat="1" applyFont="1" applyBorder="1" applyAlignment="1" applyProtection="1">
      <alignment horizontal="center" wrapText="1"/>
    </xf>
    <xf numFmtId="165" fontId="12" fillId="0" borderId="3" xfId="1" applyNumberFormat="1" applyFont="1" applyBorder="1" applyAlignment="1" applyProtection="1">
      <alignment horizontal="center"/>
      <protection locked="0"/>
    </xf>
    <xf numFmtId="0" fontId="12" fillId="0" borderId="2" xfId="0" applyFont="1" applyBorder="1" applyProtection="1"/>
    <xf numFmtId="165" fontId="11" fillId="0" borderId="30" xfId="0" applyNumberFormat="1" applyFont="1" applyBorder="1" applyAlignment="1" applyProtection="1">
      <alignment horizontal="center" wrapText="1"/>
    </xf>
    <xf numFmtId="0" fontId="11" fillId="0" borderId="3" xfId="0" applyFont="1" applyFill="1" applyBorder="1" applyProtection="1"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165" fontId="12" fillId="0" borderId="4" xfId="1" applyNumberFormat="1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Protection="1">
      <protection locked="0"/>
    </xf>
    <xf numFmtId="0" fontId="0" fillId="0" borderId="9" xfId="0" applyBorder="1"/>
    <xf numFmtId="165" fontId="6" fillId="0" borderId="30" xfId="0" applyNumberFormat="1" applyFont="1" applyFill="1" applyBorder="1" applyAlignment="1" applyProtection="1">
      <alignment horizontal="center" wrapText="1"/>
    </xf>
    <xf numFmtId="0" fontId="4" fillId="0" borderId="6" xfId="0" applyFont="1" applyBorder="1" applyProtection="1"/>
    <xf numFmtId="164" fontId="5" fillId="0" borderId="19" xfId="0" applyNumberFormat="1" applyFont="1" applyBorder="1" applyAlignment="1" applyProtection="1">
      <alignment horizontal="center" wrapText="1"/>
    </xf>
    <xf numFmtId="165" fontId="6" fillId="0" borderId="7" xfId="1" applyNumberFormat="1" applyFont="1" applyBorder="1" applyAlignment="1" applyProtection="1">
      <alignment horizontal="center" wrapText="1"/>
    </xf>
    <xf numFmtId="165" fontId="6" fillId="0" borderId="53" xfId="1" applyNumberFormat="1" applyFont="1" applyBorder="1" applyAlignment="1">
      <alignment horizontal="center"/>
    </xf>
    <xf numFmtId="165" fontId="6" fillId="0" borderId="29" xfId="1" applyNumberFormat="1" applyFont="1" applyBorder="1" applyAlignment="1">
      <alignment horizontal="right"/>
    </xf>
    <xf numFmtId="165" fontId="6" fillId="0" borderId="29" xfId="0" applyNumberFormat="1" applyFont="1" applyBorder="1" applyAlignment="1">
      <alignment horizontal="center"/>
    </xf>
    <xf numFmtId="165" fontId="0" fillId="0" borderId="0" xfId="1" applyNumberFormat="1" applyFont="1"/>
    <xf numFmtId="166" fontId="6" fillId="0" borderId="7" xfId="2" applyNumberFormat="1" applyFont="1" applyBorder="1" applyAlignment="1" applyProtection="1">
      <alignment horizontal="center" wrapText="1"/>
    </xf>
    <xf numFmtId="10" fontId="6" fillId="0" borderId="7" xfId="2" applyNumberFormat="1" applyFont="1" applyBorder="1" applyAlignment="1" applyProtection="1">
      <alignment horizontal="center" wrapText="1"/>
    </xf>
    <xf numFmtId="167" fontId="6" fillId="0" borderId="7" xfId="2" applyNumberFormat="1" applyFont="1" applyBorder="1" applyAlignment="1" applyProtection="1">
      <alignment horizontal="center" wrapText="1"/>
    </xf>
    <xf numFmtId="44" fontId="6" fillId="0" borderId="3" xfId="1" applyNumberFormat="1" applyFont="1" applyFill="1" applyBorder="1" applyAlignment="1" applyProtection="1">
      <alignment horizontal="left" vertical="center" wrapText="1"/>
    </xf>
    <xf numFmtId="0" fontId="0" fillId="0" borderId="65" xfId="0" applyFill="1" applyBorder="1"/>
    <xf numFmtId="165" fontId="6" fillId="0" borderId="66" xfId="0" applyNumberFormat="1" applyFont="1" applyBorder="1" applyAlignment="1" applyProtection="1">
      <alignment horizontal="center" wrapText="1"/>
    </xf>
    <xf numFmtId="165" fontId="5" fillId="0" borderId="67" xfId="1" applyNumberFormat="1" applyFont="1" applyFill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165" fontId="5" fillId="2" borderId="23" xfId="0" applyNumberFormat="1" applyFont="1" applyFill="1" applyBorder="1" applyAlignment="1" applyProtection="1">
      <alignment horizontal="center" wrapText="1"/>
    </xf>
    <xf numFmtId="165" fontId="5" fillId="2" borderId="47" xfId="0" applyNumberFormat="1" applyFont="1" applyFill="1" applyBorder="1" applyAlignment="1" applyProtection="1">
      <alignment horizontal="center" wrapText="1"/>
    </xf>
    <xf numFmtId="165" fontId="5" fillId="2" borderId="39" xfId="0" applyNumberFormat="1" applyFont="1" applyFill="1" applyBorder="1" applyAlignment="1" applyProtection="1">
      <alignment horizontal="center" wrapText="1"/>
    </xf>
    <xf numFmtId="164" fontId="5" fillId="2" borderId="23" xfId="0" applyNumberFormat="1" applyFont="1" applyFill="1" applyBorder="1" applyAlignment="1" applyProtection="1">
      <alignment horizontal="center" wrapText="1"/>
    </xf>
    <xf numFmtId="164" fontId="5" fillId="2" borderId="47" xfId="0" applyNumberFormat="1" applyFont="1" applyFill="1" applyBorder="1" applyAlignment="1" applyProtection="1">
      <alignment horizontal="center" wrapText="1"/>
    </xf>
    <xf numFmtId="164" fontId="5" fillId="2" borderId="39" xfId="0" applyNumberFormat="1" applyFont="1" applyFill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4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</cellXfs>
  <cellStyles count="7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110" zoomScaleNormal="110" zoomScalePageLayoutView="110" workbookViewId="0">
      <selection activeCell="A29" sqref="A29"/>
    </sheetView>
  </sheetViews>
  <sheetFormatPr defaultColWidth="11" defaultRowHeight="15.75"/>
  <cols>
    <col min="1" max="1" width="22.125" customWidth="1"/>
    <col min="2" max="2" width="5.5" customWidth="1"/>
    <col min="3" max="5" width="10.875" customWidth="1"/>
    <col min="6" max="6" width="2.625" customWidth="1"/>
    <col min="7" max="10" width="11.5" customWidth="1"/>
    <col min="11" max="12" width="12.375" customWidth="1"/>
    <col min="13" max="13" width="20" customWidth="1"/>
  </cols>
  <sheetData>
    <row r="1" spans="1:14" ht="26.25">
      <c r="A1" s="254" t="s">
        <v>33</v>
      </c>
      <c r="B1" s="254"/>
      <c r="C1" s="254"/>
      <c r="D1" s="254"/>
      <c r="E1" s="254"/>
      <c r="F1" s="254"/>
      <c r="G1" s="254"/>
      <c r="H1" s="254"/>
      <c r="I1" s="85"/>
      <c r="J1" s="85"/>
      <c r="K1" s="85"/>
      <c r="L1" s="85"/>
    </row>
    <row r="2" spans="1:14" ht="16.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30.95" customHeight="1" thickBot="1">
      <c r="A3" s="244" t="s">
        <v>0</v>
      </c>
      <c r="B3" s="255"/>
      <c r="C3" s="256" t="s">
        <v>1</v>
      </c>
      <c r="D3" s="257"/>
      <c r="E3" s="258"/>
      <c r="F3" s="86"/>
      <c r="G3" s="259" t="s">
        <v>31</v>
      </c>
      <c r="H3" s="260"/>
      <c r="I3" s="244" t="s">
        <v>32</v>
      </c>
      <c r="J3" s="245"/>
      <c r="K3" s="244" t="s">
        <v>30</v>
      </c>
      <c r="L3" s="245"/>
      <c r="M3" s="139" t="s">
        <v>28</v>
      </c>
      <c r="N3" s="50"/>
    </row>
    <row r="4" spans="1:14">
      <c r="A4" s="17" t="s">
        <v>2</v>
      </c>
      <c r="B4" s="18"/>
      <c r="C4" s="19" t="s">
        <v>3</v>
      </c>
      <c r="D4" s="19" t="s">
        <v>4</v>
      </c>
      <c r="E4" s="49" t="s">
        <v>5</v>
      </c>
      <c r="F4" s="87"/>
      <c r="G4" s="96" t="s">
        <v>6</v>
      </c>
      <c r="H4" s="97" t="s">
        <v>7</v>
      </c>
      <c r="I4" s="96" t="s">
        <v>6</v>
      </c>
      <c r="J4" s="97" t="s">
        <v>7</v>
      </c>
      <c r="K4" s="96" t="s">
        <v>6</v>
      </c>
      <c r="L4" s="97" t="s">
        <v>7</v>
      </c>
      <c r="M4" s="140"/>
    </row>
    <row r="5" spans="1:14" ht="60">
      <c r="A5" s="13" t="s">
        <v>40</v>
      </c>
      <c r="B5" s="4"/>
      <c r="C5" s="52">
        <v>2</v>
      </c>
      <c r="D5" s="59">
        <f>(113400)*0.1</f>
        <v>11340</v>
      </c>
      <c r="E5" s="60">
        <f>C5*D5</f>
        <v>22680</v>
      </c>
      <c r="F5" s="88"/>
      <c r="G5" s="98">
        <f>E5*(9/24)</f>
        <v>8505</v>
      </c>
      <c r="H5" s="98"/>
      <c r="I5" s="161">
        <f>E5*(15/24)</f>
        <v>14175</v>
      </c>
      <c r="J5" s="161"/>
      <c r="K5" s="161">
        <f t="shared" ref="K5:L8" si="0">G5+I5</f>
        <v>22680</v>
      </c>
      <c r="L5" s="162">
        <f t="shared" si="0"/>
        <v>0</v>
      </c>
      <c r="M5" s="141">
        <f>SUM(K5:L5)</f>
        <v>22680</v>
      </c>
    </row>
    <row r="6" spans="1:14" ht="60">
      <c r="A6" s="13" t="s">
        <v>42</v>
      </c>
      <c r="B6" s="4"/>
      <c r="C6" s="52">
        <v>2</v>
      </c>
      <c r="D6" s="59">
        <f>(148966)*0.15</f>
        <v>22344.899999999998</v>
      </c>
      <c r="E6" s="60">
        <f>C6*D6</f>
        <v>44689.799999999996</v>
      </c>
      <c r="F6" s="88"/>
      <c r="G6" s="98"/>
      <c r="H6" s="229">
        <f>+E6*(9/24)</f>
        <v>16758.674999999999</v>
      </c>
      <c r="I6" s="161"/>
      <c r="J6" s="162">
        <f>+E6*(15/24)</f>
        <v>27931.124999999996</v>
      </c>
      <c r="K6" s="161"/>
      <c r="L6" s="162">
        <f t="shared" si="0"/>
        <v>44689.799999999996</v>
      </c>
      <c r="M6" s="141">
        <f>SUM(K6:L6)</f>
        <v>44689.799999999996</v>
      </c>
    </row>
    <row r="7" spans="1:14" ht="72">
      <c r="A7" s="13" t="s">
        <v>43</v>
      </c>
      <c r="B7" s="4"/>
      <c r="C7" s="52">
        <v>2</v>
      </c>
      <c r="D7" s="59">
        <f>(93568)*0.15</f>
        <v>14035.199999999999</v>
      </c>
      <c r="E7" s="60">
        <f>C7*D7</f>
        <v>28070.399999999998</v>
      </c>
      <c r="F7" s="88"/>
      <c r="G7" s="98"/>
      <c r="H7" s="229">
        <f>+E7*(9/24)</f>
        <v>10526.4</v>
      </c>
      <c r="I7" s="161"/>
      <c r="J7" s="162">
        <f>+E7*(0.625)</f>
        <v>17544</v>
      </c>
      <c r="K7" s="161">
        <f t="shared" si="0"/>
        <v>0</v>
      </c>
      <c r="L7" s="162">
        <f t="shared" si="0"/>
        <v>28070.400000000001</v>
      </c>
      <c r="M7" s="141">
        <f>SUM(K7:L7)</f>
        <v>28070.400000000001</v>
      </c>
    </row>
    <row r="8" spans="1:14" ht="60">
      <c r="A8" s="13" t="s">
        <v>39</v>
      </c>
      <c r="B8" s="4"/>
      <c r="C8" s="52">
        <v>2</v>
      </c>
      <c r="D8" s="59">
        <f>(102505)*0.1</f>
        <v>10250.5</v>
      </c>
      <c r="E8" s="60">
        <f>C8*D8</f>
        <v>20501</v>
      </c>
      <c r="F8" s="88"/>
      <c r="G8" s="98"/>
      <c r="H8" s="229">
        <f>+E8*(0.375)</f>
        <v>7687.875</v>
      </c>
      <c r="I8" s="161"/>
      <c r="J8" s="162">
        <f>+E8*(15/24)</f>
        <v>12813.125</v>
      </c>
      <c r="K8" s="161">
        <f t="shared" si="0"/>
        <v>0</v>
      </c>
      <c r="L8" s="162">
        <f t="shared" si="0"/>
        <v>20501</v>
      </c>
      <c r="M8" s="141">
        <f>SUM(K8:L8)</f>
        <v>20501</v>
      </c>
    </row>
    <row r="9" spans="1:14" ht="16.5" thickBot="1">
      <c r="A9" s="21" t="s">
        <v>8</v>
      </c>
      <c r="B9" s="22"/>
      <c r="C9" s="23"/>
      <c r="D9" s="61"/>
      <c r="E9" s="62">
        <f>SUM(E5:E8)</f>
        <v>115941.19999999998</v>
      </c>
      <c r="F9" s="89"/>
      <c r="G9" s="99">
        <f>SUM(G5:G8)</f>
        <v>8505</v>
      </c>
      <c r="H9" s="100">
        <f>SUM(H5:H8)</f>
        <v>34972.949999999997</v>
      </c>
      <c r="I9" s="130">
        <f t="shared" ref="I9:J9" si="1">SUM(I5:I8)</f>
        <v>14175</v>
      </c>
      <c r="J9" s="105">
        <f t="shared" si="1"/>
        <v>58288.25</v>
      </c>
      <c r="K9" s="130">
        <f>G9+I9</f>
        <v>22680</v>
      </c>
      <c r="L9" s="162">
        <f>H9+J9</f>
        <v>93261.2</v>
      </c>
      <c r="M9" s="142">
        <f>SUM(K9:L9)</f>
        <v>115941.2</v>
      </c>
    </row>
    <row r="10" spans="1:14" ht="17.100000000000001" customHeight="1">
      <c r="A10" s="24" t="s">
        <v>9</v>
      </c>
      <c r="B10" s="25"/>
      <c r="C10" s="19" t="s">
        <v>3</v>
      </c>
      <c r="D10" s="19" t="s">
        <v>4</v>
      </c>
      <c r="E10" s="20" t="s">
        <v>5</v>
      </c>
      <c r="F10" s="90"/>
      <c r="G10" s="96" t="s">
        <v>6</v>
      </c>
      <c r="H10" s="97" t="s">
        <v>7</v>
      </c>
      <c r="I10" s="163" t="s">
        <v>6</v>
      </c>
      <c r="J10" s="164" t="s">
        <v>7</v>
      </c>
      <c r="K10" s="163" t="s">
        <v>6</v>
      </c>
      <c r="L10" s="164" t="s">
        <v>7</v>
      </c>
      <c r="M10" s="143"/>
    </row>
    <row r="11" spans="1:14" ht="77.25" customHeight="1">
      <c r="A11" s="13" t="s">
        <v>46</v>
      </c>
      <c r="B11" s="230"/>
      <c r="C11" s="237">
        <v>0.35</v>
      </c>
      <c r="D11" s="232">
        <f>+E5</f>
        <v>22680</v>
      </c>
      <c r="E11" s="64">
        <f>C11*D11</f>
        <v>7937.9999999999991</v>
      </c>
      <c r="F11" s="88"/>
      <c r="G11" s="233">
        <f>+E11*(9/24)</f>
        <v>2976.7499999999995</v>
      </c>
      <c r="H11" s="231"/>
      <c r="I11" s="234">
        <f>+E11*(15/24)</f>
        <v>4961.2499999999991</v>
      </c>
      <c r="J11" s="231"/>
      <c r="K11" s="235">
        <f>+G11+I11</f>
        <v>7937.9999999999982</v>
      </c>
      <c r="L11" s="231"/>
      <c r="M11" s="102">
        <f>SUM(K11:L11)</f>
        <v>7937.9999999999982</v>
      </c>
    </row>
    <row r="12" spans="1:14" ht="84">
      <c r="A12" s="13" t="s">
        <v>45</v>
      </c>
      <c r="B12" s="5"/>
      <c r="C12" s="239">
        <v>0.33195000000000002</v>
      </c>
      <c r="D12" s="63">
        <f>+E6</f>
        <v>44689.799999999996</v>
      </c>
      <c r="E12" s="64">
        <f>C12*D12</f>
        <v>14834.779109999999</v>
      </c>
      <c r="F12" s="91"/>
      <c r="G12" s="179"/>
      <c r="H12" s="102">
        <f>+E12*(0.375)</f>
        <v>5563.0421662499994</v>
      </c>
      <c r="I12" s="128"/>
      <c r="J12" s="102">
        <f>+E12*(0.625)</f>
        <v>9271.7369437500001</v>
      </c>
      <c r="K12" s="128">
        <f t="shared" ref="K12:L43" si="2">G12+I12</f>
        <v>0</v>
      </c>
      <c r="L12" s="102">
        <f t="shared" si="2"/>
        <v>14834.779109999999</v>
      </c>
      <c r="M12" s="102">
        <f>SUM(K12:L12)</f>
        <v>14834.779109999999</v>
      </c>
    </row>
    <row r="13" spans="1:14" ht="91.5" customHeight="1">
      <c r="A13" s="13" t="s">
        <v>47</v>
      </c>
      <c r="B13" s="5"/>
      <c r="C13" s="237">
        <v>0.307</v>
      </c>
      <c r="D13" s="63">
        <f>+E7</f>
        <v>28070.399999999998</v>
      </c>
      <c r="E13" s="64">
        <f>C13*D13</f>
        <v>8617.612799999999</v>
      </c>
      <c r="F13" s="91"/>
      <c r="G13" s="101"/>
      <c r="H13" s="102">
        <f>+E13*(0.375)</f>
        <v>3231.6047999999996</v>
      </c>
      <c r="I13" s="128"/>
      <c r="J13" s="102">
        <f>+E13*(0.625)</f>
        <v>5386.0079999999998</v>
      </c>
      <c r="K13" s="128">
        <f t="shared" si="2"/>
        <v>0</v>
      </c>
      <c r="L13" s="102">
        <f t="shared" si="2"/>
        <v>8617.612799999999</v>
      </c>
      <c r="M13" s="102">
        <f>SUM(K13:L13)</f>
        <v>8617.612799999999</v>
      </c>
    </row>
    <row r="14" spans="1:14" ht="72">
      <c r="A14" s="13" t="s">
        <v>48</v>
      </c>
      <c r="B14" s="5"/>
      <c r="C14" s="238">
        <v>0.4042</v>
      </c>
      <c r="D14" s="63">
        <f>+E8</f>
        <v>20501</v>
      </c>
      <c r="E14" s="64">
        <f>C14*D14</f>
        <v>8286.5041999999994</v>
      </c>
      <c r="F14" s="91"/>
      <c r="G14" s="101"/>
      <c r="H14" s="102">
        <f>+E14*(0.375)</f>
        <v>3107.4390749999998</v>
      </c>
      <c r="I14" s="128"/>
      <c r="J14" s="102">
        <f>+E14*(0.625)</f>
        <v>5179.0651249999992</v>
      </c>
      <c r="K14" s="128">
        <f t="shared" si="2"/>
        <v>0</v>
      </c>
      <c r="L14" s="102">
        <f t="shared" si="2"/>
        <v>8286.5041999999994</v>
      </c>
      <c r="M14" s="102">
        <f>SUM(K14:L14)</f>
        <v>8286.5041999999994</v>
      </c>
    </row>
    <row r="15" spans="1:14" ht="16.5" thickBot="1">
      <c r="A15" s="21" t="s">
        <v>10</v>
      </c>
      <c r="B15" s="26"/>
      <c r="C15" s="27"/>
      <c r="D15" s="65"/>
      <c r="E15" s="66">
        <f>SUM(E11:E14)</f>
        <v>39676.896110000001</v>
      </c>
      <c r="F15" s="92"/>
      <c r="G15" s="99">
        <f>SUM(G11:G14)</f>
        <v>2976.7499999999995</v>
      </c>
      <c r="H15" s="100">
        <f>SUM(H11:H14)</f>
        <v>11902.086041249999</v>
      </c>
      <c r="I15" s="130">
        <f>SUM(I11:I14)</f>
        <v>4961.2499999999991</v>
      </c>
      <c r="J15" s="105">
        <f>SUM(J11:J14)</f>
        <v>19836.810068749997</v>
      </c>
      <c r="K15" s="130">
        <f t="shared" si="2"/>
        <v>7937.9999999999982</v>
      </c>
      <c r="L15" s="176">
        <f>H15+J15</f>
        <v>31738.896109999994</v>
      </c>
      <c r="M15" s="144">
        <f>SUM(K15:L15)</f>
        <v>39676.896109999994</v>
      </c>
    </row>
    <row r="16" spans="1:14">
      <c r="A16" s="28" t="s">
        <v>11</v>
      </c>
      <c r="B16" s="29"/>
      <c r="C16" s="53" t="s">
        <v>3</v>
      </c>
      <c r="D16" s="67" t="s">
        <v>4</v>
      </c>
      <c r="E16" s="68" t="s">
        <v>5</v>
      </c>
      <c r="F16" s="246"/>
      <c r="G16" s="96" t="s">
        <v>6</v>
      </c>
      <c r="H16" s="97" t="s">
        <v>7</v>
      </c>
      <c r="I16" s="163" t="s">
        <v>6</v>
      </c>
      <c r="J16" s="164" t="s">
        <v>7</v>
      </c>
      <c r="K16" s="163" t="s">
        <v>6</v>
      </c>
      <c r="L16" s="164" t="s">
        <v>7</v>
      </c>
      <c r="M16" s="145"/>
    </row>
    <row r="17" spans="1:13" ht="144">
      <c r="A17" s="213" t="s">
        <v>49</v>
      </c>
      <c r="B17" s="224"/>
      <c r="C17" s="225">
        <v>16</v>
      </c>
      <c r="D17" s="226">
        <v>350</v>
      </c>
      <c r="E17" s="69">
        <f>C17*D17</f>
        <v>5600</v>
      </c>
      <c r="F17" s="247"/>
      <c r="G17" s="179">
        <f>E17*(9/24)</f>
        <v>2100</v>
      </c>
      <c r="H17" s="103"/>
      <c r="I17" s="129">
        <f>E17*(15/24)</f>
        <v>3500</v>
      </c>
      <c r="J17" s="103"/>
      <c r="K17" s="129">
        <f t="shared" si="2"/>
        <v>5600</v>
      </c>
      <c r="L17" s="103">
        <f t="shared" si="2"/>
        <v>0</v>
      </c>
      <c r="M17" s="102">
        <f>SUM(K17:L17)</f>
        <v>5600</v>
      </c>
    </row>
    <row r="18" spans="1:13" ht="159">
      <c r="A18" s="213" t="s">
        <v>41</v>
      </c>
      <c r="B18" s="227"/>
      <c r="C18" s="225">
        <v>12</v>
      </c>
      <c r="D18" s="226">
        <v>1350</v>
      </c>
      <c r="E18" s="69">
        <f>C18*D18</f>
        <v>16200</v>
      </c>
      <c r="F18" s="247"/>
      <c r="G18" s="179">
        <f t="shared" ref="G18" si="3">E18*(9/24)</f>
        <v>6075</v>
      </c>
      <c r="H18" s="103"/>
      <c r="I18" s="129">
        <f t="shared" ref="I18" si="4">E18*(15/24)</f>
        <v>10125</v>
      </c>
      <c r="J18" s="103"/>
      <c r="K18" s="129">
        <f t="shared" si="2"/>
        <v>16200</v>
      </c>
      <c r="L18" s="103">
        <f t="shared" si="2"/>
        <v>0</v>
      </c>
      <c r="M18" s="102">
        <f t="shared" ref="M18" si="5">SUM(K18:L18)</f>
        <v>16200</v>
      </c>
    </row>
    <row r="19" spans="1:13" ht="16.5" thickBot="1">
      <c r="A19" s="30" t="s">
        <v>12</v>
      </c>
      <c r="B19" s="31"/>
      <c r="C19" s="54"/>
      <c r="D19" s="70"/>
      <c r="E19" s="71">
        <f>SUM(E17:E18)</f>
        <v>21800</v>
      </c>
      <c r="F19" s="248"/>
      <c r="G19" s="104">
        <f>SUM(G17:G18)</f>
        <v>8175</v>
      </c>
      <c r="H19" s="105">
        <f>SUM(H17:H18)</f>
        <v>0</v>
      </c>
      <c r="I19" s="130">
        <f>SUM(I17:I18)</f>
        <v>13625</v>
      </c>
      <c r="J19" s="105">
        <f>SUM(J17:J18)</f>
        <v>0</v>
      </c>
      <c r="K19" s="130">
        <f t="shared" si="2"/>
        <v>21800</v>
      </c>
      <c r="L19" s="105">
        <f t="shared" si="2"/>
        <v>0</v>
      </c>
      <c r="M19" s="146">
        <f>SUM(K19:L19)</f>
        <v>21800</v>
      </c>
    </row>
    <row r="20" spans="1:13">
      <c r="A20" s="33" t="s">
        <v>13</v>
      </c>
      <c r="B20" s="18"/>
      <c r="C20" s="19" t="s">
        <v>3</v>
      </c>
      <c r="D20" s="19" t="s">
        <v>4</v>
      </c>
      <c r="E20" s="20" t="s">
        <v>5</v>
      </c>
      <c r="F20" s="93"/>
      <c r="G20" s="96" t="s">
        <v>6</v>
      </c>
      <c r="H20" s="97" t="s">
        <v>7</v>
      </c>
      <c r="I20" s="163" t="s">
        <v>6</v>
      </c>
      <c r="J20" s="164" t="s">
        <v>7</v>
      </c>
      <c r="K20" s="163" t="s">
        <v>6</v>
      </c>
      <c r="L20" s="164" t="s">
        <v>7</v>
      </c>
      <c r="M20" s="147"/>
    </row>
    <row r="21" spans="1:13">
      <c r="A21" s="51"/>
      <c r="B21" s="6"/>
      <c r="C21" s="7"/>
      <c r="D21" s="8"/>
      <c r="E21" s="35">
        <f>C21*D21</f>
        <v>0</v>
      </c>
      <c r="F21" s="94"/>
      <c r="G21" s="106">
        <v>0</v>
      </c>
      <c r="H21" s="107"/>
      <c r="I21" s="165"/>
      <c r="J21" s="166"/>
      <c r="K21" s="165">
        <f t="shared" si="2"/>
        <v>0</v>
      </c>
      <c r="L21" s="166"/>
      <c r="M21" s="148"/>
    </row>
    <row r="22" spans="1:13" ht="16.5" thickBot="1">
      <c r="A22" s="30" t="s">
        <v>14</v>
      </c>
      <c r="B22" s="31"/>
      <c r="C22" s="34"/>
      <c r="D22" s="34"/>
      <c r="E22" s="36">
        <f>SUM(E21:E21)</f>
        <v>0</v>
      </c>
      <c r="F22" s="95"/>
      <c r="G22" s="108">
        <f>SUM(G21:G21)</f>
        <v>0</v>
      </c>
      <c r="H22" s="109">
        <f>SUM(H21:H21)</f>
        <v>0</v>
      </c>
      <c r="I22" s="167"/>
      <c r="J22" s="168"/>
      <c r="K22" s="167">
        <f t="shared" si="2"/>
        <v>0</v>
      </c>
      <c r="L22" s="168"/>
      <c r="M22" s="149">
        <f>SUM(G22:H22)</f>
        <v>0</v>
      </c>
    </row>
    <row r="23" spans="1:13">
      <c r="A23" s="17" t="s">
        <v>15</v>
      </c>
      <c r="B23" s="38"/>
      <c r="C23" s="19" t="s">
        <v>3</v>
      </c>
      <c r="D23" s="19" t="s">
        <v>4</v>
      </c>
      <c r="E23" s="20" t="s">
        <v>5</v>
      </c>
      <c r="F23" s="93"/>
      <c r="G23" s="96" t="s">
        <v>6</v>
      </c>
      <c r="H23" s="97" t="s">
        <v>7</v>
      </c>
      <c r="I23" s="163" t="s">
        <v>6</v>
      </c>
      <c r="J23" s="164" t="s">
        <v>7</v>
      </c>
      <c r="K23" s="163" t="s">
        <v>6</v>
      </c>
      <c r="L23" s="164" t="s">
        <v>7</v>
      </c>
      <c r="M23" s="150"/>
    </row>
    <row r="24" spans="1:13" ht="64.5" customHeight="1">
      <c r="A24" s="213" t="s">
        <v>50</v>
      </c>
      <c r="B24" s="214"/>
      <c r="C24" s="215">
        <v>8</v>
      </c>
      <c r="D24" s="221">
        <v>250</v>
      </c>
      <c r="E24" s="216">
        <f>C24*D24</f>
        <v>2000</v>
      </c>
      <c r="F24" s="217"/>
      <c r="G24" s="218">
        <f>E24*(9/24)</f>
        <v>750</v>
      </c>
      <c r="H24" s="219"/>
      <c r="I24" s="220">
        <f t="shared" ref="I24:I26" si="6">E24*(15/24)</f>
        <v>1250</v>
      </c>
      <c r="J24" s="110"/>
      <c r="K24" s="131">
        <f t="shared" si="2"/>
        <v>2000</v>
      </c>
      <c r="L24" s="110">
        <f t="shared" si="2"/>
        <v>0</v>
      </c>
      <c r="M24" s="151">
        <f>SUM(K24:L24)</f>
        <v>2000</v>
      </c>
    </row>
    <row r="25" spans="1:13" ht="60">
      <c r="A25" s="213" t="s">
        <v>44</v>
      </c>
      <c r="B25" s="214"/>
      <c r="C25" s="215">
        <v>24</v>
      </c>
      <c r="D25" s="221">
        <v>100</v>
      </c>
      <c r="E25" s="216">
        <f t="shared" ref="E25:E26" si="7">C25*D25</f>
        <v>2400</v>
      </c>
      <c r="F25" s="217"/>
      <c r="G25" s="218">
        <f>E25*(9/24)</f>
        <v>900</v>
      </c>
      <c r="H25" s="219"/>
      <c r="I25" s="220">
        <f t="shared" si="6"/>
        <v>1500</v>
      </c>
      <c r="J25" s="110"/>
      <c r="K25" s="131">
        <f t="shared" si="2"/>
        <v>2400</v>
      </c>
      <c r="L25" s="110">
        <f t="shared" si="2"/>
        <v>0</v>
      </c>
      <c r="M25" s="151">
        <f>SUM(K25:L25)</f>
        <v>2400</v>
      </c>
    </row>
    <row r="26" spans="1:13" ht="36">
      <c r="A26" s="213" t="s">
        <v>38</v>
      </c>
      <c r="B26" s="222"/>
      <c r="C26" s="215">
        <v>24</v>
      </c>
      <c r="D26" s="221">
        <f>+((200*24)+(8000*2))/24+1.4</f>
        <v>868.06666666666661</v>
      </c>
      <c r="E26" s="216">
        <f t="shared" si="7"/>
        <v>20833.599999999999</v>
      </c>
      <c r="F26" s="217"/>
      <c r="G26" s="218">
        <f>E26*(9/24)</f>
        <v>7812.5999999999995</v>
      </c>
      <c r="H26" s="223"/>
      <c r="I26" s="220">
        <f t="shared" si="6"/>
        <v>13021</v>
      </c>
      <c r="J26" s="111"/>
      <c r="K26" s="131">
        <f t="shared" si="2"/>
        <v>20833.599999999999</v>
      </c>
      <c r="L26" s="111">
        <f t="shared" si="2"/>
        <v>0</v>
      </c>
      <c r="M26" s="151">
        <f>SUM(K26:L26)</f>
        <v>20833.599999999999</v>
      </c>
    </row>
    <row r="27" spans="1:13" ht="16.5" thickBot="1">
      <c r="A27" s="30" t="s">
        <v>16</v>
      </c>
      <c r="B27" s="31"/>
      <c r="C27" s="32"/>
      <c r="D27" s="73"/>
      <c r="E27" s="71">
        <f>SUM(E24:E26)</f>
        <v>25233.599999999999</v>
      </c>
      <c r="F27" s="92"/>
      <c r="G27" s="112">
        <f>SUM(G24:G26)</f>
        <v>9462.5999999999985</v>
      </c>
      <c r="H27" s="72">
        <f t="shared" ref="H27:J27" si="8">SUM(H24:H26)</f>
        <v>0</v>
      </c>
      <c r="I27" s="182">
        <f t="shared" si="8"/>
        <v>15771</v>
      </c>
      <c r="J27" s="72">
        <f t="shared" si="8"/>
        <v>0</v>
      </c>
      <c r="K27" s="132">
        <f t="shared" si="2"/>
        <v>25233.599999999999</v>
      </c>
      <c r="L27" s="72">
        <f t="shared" si="2"/>
        <v>0</v>
      </c>
      <c r="M27" s="144">
        <f>SUM(K27:L27)</f>
        <v>25233.599999999999</v>
      </c>
    </row>
    <row r="28" spans="1:13">
      <c r="A28" s="55" t="s">
        <v>17</v>
      </c>
      <c r="B28" s="56"/>
      <c r="C28" s="37" t="s">
        <v>3</v>
      </c>
      <c r="D28" s="3" t="s">
        <v>4</v>
      </c>
      <c r="E28" s="3" t="s">
        <v>5</v>
      </c>
      <c r="F28" s="94"/>
      <c r="G28" s="96" t="s">
        <v>6</v>
      </c>
      <c r="H28" s="97" t="s">
        <v>7</v>
      </c>
      <c r="I28" s="163" t="s">
        <v>6</v>
      </c>
      <c r="J28" s="164" t="s">
        <v>7</v>
      </c>
      <c r="K28" s="163" t="s">
        <v>6</v>
      </c>
      <c r="L28" s="164" t="s">
        <v>7</v>
      </c>
      <c r="M28" s="241"/>
    </row>
    <row r="29" spans="1:13" ht="36">
      <c r="A29" s="57" t="s">
        <v>51</v>
      </c>
      <c r="B29" s="58"/>
      <c r="C29" s="180">
        <f>2080*0.75*2</f>
        <v>3120</v>
      </c>
      <c r="D29" s="240">
        <v>97.1</v>
      </c>
      <c r="E29" s="75">
        <f>C29*D29</f>
        <v>302952</v>
      </c>
      <c r="F29" s="91"/>
      <c r="G29" s="233">
        <f>+E29*(0.375)</f>
        <v>113607</v>
      </c>
      <c r="H29" s="114"/>
      <c r="I29" s="169">
        <f>+E29*(0.625)</f>
        <v>189345</v>
      </c>
      <c r="J29" s="114"/>
      <c r="K29" s="133">
        <f t="shared" ref="K29" si="9">G29+I29</f>
        <v>302952</v>
      </c>
      <c r="L29" s="114">
        <f t="shared" ref="L29" si="10">H29+J29</f>
        <v>0</v>
      </c>
      <c r="M29" s="242">
        <f>SUM(K29:L29)</f>
        <v>302952</v>
      </c>
    </row>
    <row r="30" spans="1:13" ht="24">
      <c r="A30" s="57" t="s">
        <v>52</v>
      </c>
      <c r="B30" s="58"/>
      <c r="C30" s="180">
        <v>1500</v>
      </c>
      <c r="D30" s="240">
        <v>210.89</v>
      </c>
      <c r="E30" s="75">
        <f t="shared" ref="E30" si="11">C30*D30</f>
        <v>316335</v>
      </c>
      <c r="F30" s="91"/>
      <c r="G30" s="233">
        <f>+E30*(0.375)</f>
        <v>118625.625</v>
      </c>
      <c r="H30" s="114"/>
      <c r="I30" s="169">
        <f>+E30*(0.625)</f>
        <v>197709.375</v>
      </c>
      <c r="J30" s="114"/>
      <c r="K30" s="133">
        <f>G30+I30</f>
        <v>316335</v>
      </c>
      <c r="L30" s="114">
        <f t="shared" si="2"/>
        <v>0</v>
      </c>
      <c r="M30" s="242">
        <f>SUM(K30:L30)</f>
        <v>316335</v>
      </c>
    </row>
    <row r="31" spans="1:13">
      <c r="A31" s="57"/>
      <c r="B31" s="58"/>
      <c r="C31" s="180"/>
      <c r="D31" s="181"/>
      <c r="E31" s="75"/>
      <c r="F31" s="91"/>
      <c r="G31" s="113"/>
      <c r="H31" s="114"/>
      <c r="I31" s="169"/>
      <c r="J31" s="114"/>
      <c r="K31" s="133"/>
      <c r="L31" s="114"/>
      <c r="M31" s="242"/>
    </row>
    <row r="32" spans="1:13" ht="16.5" thickBot="1">
      <c r="A32" s="15" t="s">
        <v>18</v>
      </c>
      <c r="B32" s="16"/>
      <c r="C32" s="39"/>
      <c r="D32" s="76"/>
      <c r="E32" s="40">
        <f>SUM(E29:E31)</f>
        <v>619287</v>
      </c>
      <c r="F32" s="91"/>
      <c r="G32" s="115">
        <f>SUM(G29:G31)</f>
        <v>232232.625</v>
      </c>
      <c r="H32" s="116">
        <f>SUM(H29:H31)</f>
        <v>0</v>
      </c>
      <c r="I32" s="134">
        <f>SUM(I29:I31)</f>
        <v>387054.375</v>
      </c>
      <c r="J32" s="116">
        <f>SUM(J29:J31)</f>
        <v>0</v>
      </c>
      <c r="K32" s="134">
        <f>G32+I32</f>
        <v>619287</v>
      </c>
      <c r="L32" s="116">
        <f t="shared" si="2"/>
        <v>0</v>
      </c>
      <c r="M32" s="243">
        <f>SUM(K32:L32)</f>
        <v>619287</v>
      </c>
    </row>
    <row r="33" spans="1:15">
      <c r="A33" s="17" t="s">
        <v>19</v>
      </c>
      <c r="B33" s="38"/>
      <c r="C33" s="19" t="s">
        <v>3</v>
      </c>
      <c r="D33" s="19" t="s">
        <v>4</v>
      </c>
      <c r="E33" s="20" t="s">
        <v>5</v>
      </c>
      <c r="F33" s="249"/>
      <c r="G33" s="96" t="s">
        <v>6</v>
      </c>
      <c r="H33" s="97" t="s">
        <v>7</v>
      </c>
      <c r="I33" s="163" t="s">
        <v>6</v>
      </c>
      <c r="J33" s="164" t="s">
        <v>7</v>
      </c>
      <c r="K33" s="163" t="s">
        <v>6</v>
      </c>
      <c r="L33" s="164" t="s">
        <v>7</v>
      </c>
      <c r="M33" s="150"/>
    </row>
    <row r="34" spans="1:15">
      <c r="A34" s="14"/>
      <c r="B34" s="10"/>
      <c r="C34" s="11"/>
      <c r="D34" s="11"/>
      <c r="E34" s="9">
        <v>0</v>
      </c>
      <c r="F34" s="250"/>
      <c r="G34" s="117"/>
      <c r="H34" s="118"/>
      <c r="I34" s="170"/>
      <c r="J34" s="171"/>
      <c r="K34" s="170">
        <f t="shared" si="2"/>
        <v>0</v>
      </c>
      <c r="L34" s="171"/>
      <c r="M34" s="148"/>
    </row>
    <row r="35" spans="1:15" ht="16.5" thickBot="1">
      <c r="A35" s="30" t="s">
        <v>20</v>
      </c>
      <c r="B35" s="42"/>
      <c r="C35" s="32"/>
      <c r="D35" s="32"/>
      <c r="E35" s="41">
        <v>0</v>
      </c>
      <c r="F35" s="250"/>
      <c r="G35" s="119">
        <v>0</v>
      </c>
      <c r="H35" s="120">
        <v>0</v>
      </c>
      <c r="I35" s="172"/>
      <c r="J35" s="173"/>
      <c r="K35" s="172">
        <f t="shared" si="2"/>
        <v>0</v>
      </c>
      <c r="L35" s="173"/>
      <c r="M35" s="149">
        <v>0</v>
      </c>
    </row>
    <row r="36" spans="1:15" ht="16.5" thickBot="1">
      <c r="A36" s="252" t="s">
        <v>21</v>
      </c>
      <c r="B36" s="253"/>
      <c r="C36" s="44" t="s">
        <v>3</v>
      </c>
      <c r="D36" s="44" t="s">
        <v>4</v>
      </c>
      <c r="E36" s="45" t="s">
        <v>5</v>
      </c>
      <c r="F36" s="251"/>
      <c r="G36" s="96" t="s">
        <v>6</v>
      </c>
      <c r="H36" s="97" t="s">
        <v>7</v>
      </c>
      <c r="I36" s="163" t="s">
        <v>6</v>
      </c>
      <c r="J36" s="164" t="s">
        <v>7</v>
      </c>
      <c r="K36" s="163" t="s">
        <v>6</v>
      </c>
      <c r="L36" s="164" t="s">
        <v>7</v>
      </c>
      <c r="M36" s="152"/>
    </row>
    <row r="37" spans="1:15" ht="96">
      <c r="A37" s="187" t="s">
        <v>53</v>
      </c>
      <c r="B37" s="188"/>
      <c r="C37" s="189">
        <v>1000</v>
      </c>
      <c r="D37" s="190">
        <v>50</v>
      </c>
      <c r="E37" s="191">
        <f>C37*D37</f>
        <v>50000</v>
      </c>
      <c r="F37" s="77"/>
      <c r="G37" s="121"/>
      <c r="H37" s="122">
        <f>E37*(9/24)</f>
        <v>18750</v>
      </c>
      <c r="I37" s="135"/>
      <c r="J37" s="122">
        <f>E37*(15/24)</f>
        <v>31250</v>
      </c>
      <c r="K37" s="135">
        <f t="shared" si="2"/>
        <v>0</v>
      </c>
      <c r="L37" s="122">
        <f t="shared" si="2"/>
        <v>50000</v>
      </c>
      <c r="M37" s="153"/>
    </row>
    <row r="38" spans="1:15" ht="16.5" thickBot="1">
      <c r="A38" s="192" t="s">
        <v>22</v>
      </c>
      <c r="B38" s="193"/>
      <c r="C38" s="194"/>
      <c r="D38" s="195"/>
      <c r="E38" s="196">
        <f>SUM(E37:E37)</f>
        <v>50000</v>
      </c>
      <c r="F38" s="78"/>
      <c r="G38" s="123">
        <f>SUM(G37:G37)</f>
        <v>0</v>
      </c>
      <c r="H38" s="124">
        <f t="shared" ref="H38:L38" si="12">SUM(H37:H37)</f>
        <v>18750</v>
      </c>
      <c r="I38" s="136">
        <f t="shared" si="12"/>
        <v>0</v>
      </c>
      <c r="J38" s="124">
        <f t="shared" si="12"/>
        <v>31250</v>
      </c>
      <c r="K38" s="136">
        <f t="shared" si="12"/>
        <v>0</v>
      </c>
      <c r="L38" s="124">
        <f t="shared" si="12"/>
        <v>50000</v>
      </c>
      <c r="M38" s="154">
        <f>SUM(K38:L38)</f>
        <v>50000</v>
      </c>
    </row>
    <row r="39" spans="1:15" ht="16.5" thickBot="1">
      <c r="A39" s="197"/>
      <c r="B39" s="198"/>
      <c r="C39" s="198"/>
      <c r="D39" s="198"/>
      <c r="E39" s="199"/>
      <c r="F39" s="93"/>
      <c r="G39" s="96" t="s">
        <v>6</v>
      </c>
      <c r="H39" s="97" t="s">
        <v>7</v>
      </c>
      <c r="I39" s="163" t="s">
        <v>6</v>
      </c>
      <c r="J39" s="164" t="s">
        <v>7</v>
      </c>
      <c r="K39" s="163" t="s">
        <v>6</v>
      </c>
      <c r="L39" s="164" t="s">
        <v>7</v>
      </c>
      <c r="M39" s="155"/>
    </row>
    <row r="40" spans="1:15" ht="16.5" thickBot="1">
      <c r="A40" s="200" t="s">
        <v>23</v>
      </c>
      <c r="B40" s="201"/>
      <c r="C40" s="202"/>
      <c r="D40" s="203"/>
      <c r="E40" s="204">
        <f>SUM(E38,E35,E32,E27,E22,E19,E15,E9)</f>
        <v>871938.6961099999</v>
      </c>
      <c r="F40" s="79"/>
      <c r="G40" s="125">
        <f t="shared" ref="G40:M40" si="13">SUM(G38,G35,G32,G27,G22,G19,G15,G9)</f>
        <v>261351.97500000001</v>
      </c>
      <c r="H40" s="84">
        <f t="shared" si="13"/>
        <v>65625.036041249987</v>
      </c>
      <c r="I40" s="174">
        <f t="shared" si="13"/>
        <v>435586.625</v>
      </c>
      <c r="J40" s="175">
        <f t="shared" si="13"/>
        <v>109375.06006875</v>
      </c>
      <c r="K40" s="174">
        <f t="shared" si="13"/>
        <v>696938.6</v>
      </c>
      <c r="L40" s="175">
        <f t="shared" si="13"/>
        <v>175000.09610999998</v>
      </c>
      <c r="M40" s="156">
        <f t="shared" si="13"/>
        <v>871938.6961099999</v>
      </c>
      <c r="O40" s="177"/>
    </row>
    <row r="41" spans="1:15">
      <c r="A41" s="205" t="s">
        <v>24</v>
      </c>
      <c r="B41" s="206"/>
      <c r="C41" s="207" t="s">
        <v>3</v>
      </c>
      <c r="D41" s="207" t="s">
        <v>4</v>
      </c>
      <c r="E41" s="207" t="s">
        <v>5</v>
      </c>
      <c r="F41" s="43"/>
      <c r="G41" s="96" t="s">
        <v>6</v>
      </c>
      <c r="H41" s="97" t="s">
        <v>7</v>
      </c>
      <c r="I41" s="163" t="s">
        <v>6</v>
      </c>
      <c r="J41" s="164" t="s">
        <v>7</v>
      </c>
      <c r="K41" s="163" t="s">
        <v>6</v>
      </c>
      <c r="L41" s="164" t="s">
        <v>7</v>
      </c>
      <c r="M41" s="150"/>
    </row>
    <row r="42" spans="1:15" ht="96">
      <c r="A42" s="208" t="s">
        <v>34</v>
      </c>
      <c r="B42" s="209"/>
      <c r="C42" s="210">
        <v>0.1</v>
      </c>
      <c r="D42" s="211">
        <f>E5+E11</f>
        <v>30618</v>
      </c>
      <c r="E42" s="212">
        <f>C42*D42-0.5</f>
        <v>3061.3</v>
      </c>
      <c r="F42" s="79"/>
      <c r="G42" s="126">
        <f>E42*(9/24)</f>
        <v>1147.9875000000002</v>
      </c>
      <c r="H42" s="126"/>
      <c r="I42" s="126">
        <f>E42*(15/24)</f>
        <v>1913.3125</v>
      </c>
      <c r="J42" s="126"/>
      <c r="K42" s="137">
        <f t="shared" si="2"/>
        <v>3061.3</v>
      </c>
      <c r="L42" s="126">
        <f t="shared" si="2"/>
        <v>0</v>
      </c>
      <c r="M42" s="157"/>
    </row>
    <row r="43" spans="1:15" ht="16.5" thickBot="1">
      <c r="A43" s="30" t="s">
        <v>25</v>
      </c>
      <c r="B43" s="31"/>
      <c r="C43" s="32"/>
      <c r="D43" s="73"/>
      <c r="E43" s="74">
        <f>SUM(E42:E42)</f>
        <v>3061.3</v>
      </c>
      <c r="F43" s="80"/>
      <c r="G43" s="112">
        <f>SUM(G42:G42)</f>
        <v>1147.9875000000002</v>
      </c>
      <c r="H43" s="72">
        <f t="shared" ref="H43:J43" si="14">SUM(H42:H42)</f>
        <v>0</v>
      </c>
      <c r="I43" s="132">
        <f t="shared" si="14"/>
        <v>1913.3125</v>
      </c>
      <c r="J43" s="72">
        <f t="shared" si="14"/>
        <v>0</v>
      </c>
      <c r="K43" s="132">
        <f t="shared" si="2"/>
        <v>3061.3</v>
      </c>
      <c r="L43" s="72">
        <f t="shared" si="2"/>
        <v>0</v>
      </c>
      <c r="M43" s="144">
        <f>SUM(K43:L43)</f>
        <v>3061.3</v>
      </c>
    </row>
    <row r="44" spans="1:15" ht="16.5" thickBot="1">
      <c r="A44" s="46" t="s">
        <v>26</v>
      </c>
      <c r="B44" s="47"/>
      <c r="C44" s="48"/>
      <c r="D44" s="81"/>
      <c r="E44" s="82">
        <f>SUM(E43,E40)</f>
        <v>874999.99610999995</v>
      </c>
      <c r="F44" s="80"/>
      <c r="G44" s="83">
        <f>SUM(G43,G40)</f>
        <v>262499.96250000002</v>
      </c>
      <c r="H44" s="127">
        <f t="shared" ref="H44:L44" si="15">SUM(H43,H40)</f>
        <v>65625.036041249987</v>
      </c>
      <c r="I44" s="83">
        <f>SUM(I43,I40)</f>
        <v>437499.9375</v>
      </c>
      <c r="J44" s="138">
        <f t="shared" si="15"/>
        <v>109375.06006875</v>
      </c>
      <c r="K44" s="83">
        <f>SUM(K43,K40)</f>
        <v>699999.9</v>
      </c>
      <c r="L44" s="138">
        <f t="shared" si="15"/>
        <v>175000.09610999998</v>
      </c>
      <c r="M44" s="158">
        <f>SUM(K44:L44)</f>
        <v>874999.99610999995</v>
      </c>
    </row>
    <row r="45" spans="1:15">
      <c r="G45" s="159"/>
      <c r="H45" s="159"/>
      <c r="I45" s="159"/>
      <c r="J45" s="159"/>
    </row>
    <row r="46" spans="1:15">
      <c r="E46" s="183" t="s">
        <v>27</v>
      </c>
      <c r="F46" s="183"/>
      <c r="G46" s="184">
        <f>G44/SUM(G44:H44)</f>
        <v>0.79999988927085675</v>
      </c>
      <c r="H46" s="186">
        <f>H44/SUM(G44:H44)</f>
        <v>0.20000011072914331</v>
      </c>
      <c r="I46" s="185">
        <f>I44/SUM(I44:J44)</f>
        <v>0.79999988927085652</v>
      </c>
      <c r="J46" s="186">
        <f>J44/(SUM(I44:J44))</f>
        <v>0.20000011072914334</v>
      </c>
      <c r="K46" s="185">
        <f>K44/M44</f>
        <v>0.79999988927085675</v>
      </c>
      <c r="L46" s="184">
        <f>L44/M44</f>
        <v>0.20000011072914334</v>
      </c>
      <c r="N46" s="160"/>
    </row>
    <row r="47" spans="1:15">
      <c r="E47" t="s">
        <v>29</v>
      </c>
      <c r="I47" s="178"/>
      <c r="J47" s="12"/>
      <c r="K47" s="12">
        <v>0.8</v>
      </c>
      <c r="L47" s="12">
        <v>0.2</v>
      </c>
    </row>
    <row r="48" spans="1:15">
      <c r="D48" t="s">
        <v>37</v>
      </c>
      <c r="E48">
        <f>250000+450000</f>
        <v>700000</v>
      </c>
      <c r="K48" s="159">
        <f>+G44+I44</f>
        <v>699999.9</v>
      </c>
      <c r="L48" s="159">
        <f>+H44+J44</f>
        <v>175000.09610999998</v>
      </c>
      <c r="M48" s="159">
        <f>+K48+L48</f>
        <v>874999.99610999995</v>
      </c>
      <c r="O48" s="159"/>
    </row>
    <row r="49" spans="4:15">
      <c r="D49" t="s">
        <v>35</v>
      </c>
      <c r="E49" s="228">
        <f>+(E48/8)*2</f>
        <v>175000</v>
      </c>
      <c r="K49" s="236">
        <v>700000</v>
      </c>
      <c r="L49" s="236">
        <v>175000</v>
      </c>
      <c r="M49" s="236">
        <f>+K49+L49</f>
        <v>875000</v>
      </c>
      <c r="O49" s="12"/>
    </row>
    <row r="50" spans="4:15">
      <c r="D50" t="s">
        <v>36</v>
      </c>
      <c r="E50">
        <f>+E48+E49</f>
        <v>875000</v>
      </c>
      <c r="H50" s="159"/>
      <c r="K50" s="159">
        <f>+K48-K49</f>
        <v>-9.9999999976716936E-2</v>
      </c>
      <c r="L50" s="159">
        <f>+L48-L49</f>
        <v>9.6109999984037131E-2</v>
      </c>
      <c r="M50" s="159">
        <f>+M48-M49</f>
        <v>-3.8900000508874655E-3</v>
      </c>
    </row>
    <row r="51" spans="4:15">
      <c r="E51">
        <f>+E50*0.8</f>
        <v>700000</v>
      </c>
    </row>
  </sheetData>
  <mergeCells count="9">
    <mergeCell ref="K3:L3"/>
    <mergeCell ref="F16:F19"/>
    <mergeCell ref="F33:F36"/>
    <mergeCell ref="A36:B36"/>
    <mergeCell ref="A1:H1"/>
    <mergeCell ref="A3:B3"/>
    <mergeCell ref="C3:E3"/>
    <mergeCell ref="G3:H3"/>
    <mergeCell ref="I3:J3"/>
  </mergeCells>
  <phoneticPr fontId="14" type="noConversion"/>
  <conditionalFormatting sqref="M9">
    <cfRule type="expression" dxfId="7" priority="12">
      <formula>NOT(OR(M9=E9))</formula>
    </cfRule>
  </conditionalFormatting>
  <conditionalFormatting sqref="M15">
    <cfRule type="expression" dxfId="6" priority="10">
      <formula>NOT(OR(M15=E15))</formula>
    </cfRule>
  </conditionalFormatting>
  <conditionalFormatting sqref="M19">
    <cfRule type="expression" dxfId="5" priority="9">
      <formula>NOT(OR(M19=E19))</formula>
    </cfRule>
  </conditionalFormatting>
  <conditionalFormatting sqref="M22">
    <cfRule type="expression" dxfId="4" priority="8">
      <formula>NOT(OR(M22=E22))</formula>
    </cfRule>
  </conditionalFormatting>
  <conditionalFormatting sqref="M32">
    <cfRule type="expression" dxfId="3" priority="6">
      <formula>NOT(OR(M32=E32))</formula>
    </cfRule>
  </conditionalFormatting>
  <conditionalFormatting sqref="M35">
    <cfRule type="expression" dxfId="2" priority="5">
      <formula>NOT(OR(M35=V35))</formula>
    </cfRule>
  </conditionalFormatting>
  <conditionalFormatting sqref="M38">
    <cfRule type="expression" dxfId="1" priority="4">
      <formula>NOT(OR(M38=E38))</formula>
    </cfRule>
  </conditionalFormatting>
  <conditionalFormatting sqref="M43">
    <cfRule type="expression" dxfId="0" priority="2">
      <formula>NOT(OR(M43=E43))</formula>
    </cfRule>
  </conditionalFormatting>
  <pageMargins left="0.25" right="0.25" top="0.75" bottom="0.75" header="0.3" footer="0.3"/>
  <pageSetup scale="70" orientation="landscape" r:id="rId1"/>
  <headerFooter differentFirst="1" scaleWithDoc="0" alignWithMargins="0">
    <firstFooter>&amp;CThe SLIGP 2.0 NOFO is the official competition document. _x000D_Nothing in this document or other supplemental materials is intended to conflict with or supersede the NOFO in any way. _x000D_Any perceived conflict must be resolved by reference to the NOFO.</firstFooter>
  </headerFooter>
  <rowBreaks count="3" manualBreakCount="3">
    <brk id="15" max="16383" man="1"/>
    <brk id="22" max="16383" man="1"/>
    <brk id="47" max="16383" man="1"/>
  </rowBreaks>
  <colBreaks count="1" manualBreakCount="1">
    <brk id="13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Corner Alliance,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Fairchild-Lewis</dc:creator>
  <cp:lastModifiedBy>Mary Marshall</cp:lastModifiedBy>
  <cp:lastPrinted>2017-12-15T23:13:35Z</cp:lastPrinted>
  <dcterms:created xsi:type="dcterms:W3CDTF">2017-02-16T14:43:44Z</dcterms:created>
  <dcterms:modified xsi:type="dcterms:W3CDTF">2019-04-30T21:58:06Z</dcterms:modified>
</cp:coreProperties>
</file>